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 UNIT\STATUTORY BODIES\Statutory Bodies Quarterly Reports\Consolidated Reports\2025\QUARTER 4\"/>
    </mc:Choice>
  </mc:AlternateContent>
  <xr:revisionPtr revIDLastSave="0" documentId="13_ncr:1_{935ADDD8-F446-44B2-B659-2F95A6B8CFF2}" xr6:coauthVersionLast="47" xr6:coauthVersionMax="47" xr10:uidLastSave="{00000000-0000-0000-0000-000000000000}"/>
  <workbookProtection workbookAlgorithmName="SHA-512" workbookHashValue="VaNssNp1jm/RBmkp5xidoQn9YQySAZXJXsMGP9RHneQr5Rn9XWAbvhSYCePDAay2NhEaoTXHCjSyqeVKIu7mXA==" workbookSaltValue="+oaV0ESznLpxE6P2DrJdew==" workbookSpinCount="100000" lockStructure="1"/>
  <bookViews>
    <workbookView xWindow="-120" yWindow="-120" windowWidth="29040" windowHeight="15720" activeTab="3" xr2:uid="{00000000-000D-0000-FFFF-FFFF00000000}"/>
  </bookViews>
  <sheets>
    <sheet name="Consolidated Fin Position Q4" sheetId="40" r:id="rId1"/>
    <sheet name="Consolidated Inc Statement Q4" sheetId="46" r:id="rId2"/>
    <sheet name="Financial Ratios" sheetId="27" r:id="rId3"/>
    <sheet name="ADB Fin. Postition " sheetId="44" r:id="rId4"/>
    <sheet name="ADB Inc. Statement" sheetId="45" r:id="rId5"/>
    <sheet name="ATB Fin. Position" sheetId="63" r:id="rId6"/>
    <sheet name="ATB Inc. Statement" sheetId="61" r:id="rId7"/>
    <sheet name="AASPA Fin. Position" sheetId="56" r:id="rId8"/>
    <sheet name="AASPA Inc. Statement" sheetId="55" r:id="rId9"/>
    <sheet name="ACC Fin. Position" sheetId="54" r:id="rId10"/>
    <sheet name="ACC Inc Statement" sheetId="52" r:id="rId11"/>
    <sheet name="ANT Fin. Position" sheetId="47" r:id="rId12"/>
    <sheet name="ANT Inc Statement" sheetId="48" r:id="rId13"/>
    <sheet name="PSPF Fin. Position" sheetId="60" r:id="rId14"/>
    <sheet name="PSPF Inc. Statement" sheetId="59" r:id="rId15"/>
    <sheet name="AFSC Fin. Position" sheetId="57" r:id="rId16"/>
    <sheet name="AFSC Inc. Statement" sheetId="58" r:id="rId17"/>
    <sheet name="PUC Fin. Position" sheetId="49" r:id="rId18"/>
    <sheet name="PUC Inc. Statement" sheetId="53" r:id="rId19"/>
    <sheet name="ASSB Fin. Position" sheetId="64" r:id="rId20"/>
    <sheet name="ASSB Inc. Statement" sheetId="65" r:id="rId21"/>
  </sheets>
  <externalReferences>
    <externalReference r:id="rId22"/>
  </externalReferences>
  <definedNames>
    <definedName name="A1.">'ATB Fin. Position'!$1:$1048576</definedName>
    <definedName name="PeriodsInYear" localSheetId="9">'[1]INC Q1 -Q4'!#REF!</definedName>
    <definedName name="PeriodsInYear">#REF!</definedName>
    <definedName name="_xlnm.Print_Area" localSheetId="8">'AASPA Inc. Statement'!$A$1:$AE$82</definedName>
    <definedName name="_xlnm.Print_Area" localSheetId="10">'ACC Inc Statement'!$A$1:$AE$92</definedName>
    <definedName name="_xlnm.Print_Titles" localSheetId="16">'AFSC Inc. Statement'!$1:$11</definedName>
    <definedName name="Spec" localSheetId="9">'[1]BAL Q1-Q4'!#REF!</definedName>
    <definedName name="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0" l="1"/>
  <c r="E15" i="53"/>
  <c r="E16" i="53"/>
  <c r="E17" i="53"/>
  <c r="E18" i="53"/>
  <c r="E19" i="53"/>
  <c r="E20" i="53"/>
  <c r="E21" i="53"/>
  <c r="E22" i="53"/>
  <c r="E23" i="53"/>
  <c r="E24" i="53"/>
  <c r="E14" i="53"/>
  <c r="H22" i="27"/>
  <c r="S21" i="61"/>
  <c r="D30" i="27"/>
  <c r="L35" i="27"/>
  <c r="K34" i="27"/>
  <c r="O18" i="65"/>
  <c r="J17" i="65"/>
  <c r="E17" i="65"/>
  <c r="E14" i="65"/>
  <c r="E15" i="58"/>
  <c r="E18" i="59"/>
  <c r="E16" i="59"/>
  <c r="E14" i="59"/>
  <c r="E17" i="48"/>
  <c r="J15" i="48"/>
  <c r="J15" i="52"/>
  <c r="O16" i="52"/>
  <c r="O15" i="55"/>
  <c r="J16" i="55"/>
  <c r="E14" i="55"/>
  <c r="E16" i="61"/>
  <c r="D14" i="61"/>
  <c r="E18" i="45"/>
  <c r="E14" i="45"/>
  <c r="O14" i="65"/>
  <c r="J51" i="65"/>
  <c r="E15" i="65"/>
  <c r="E34" i="53"/>
  <c r="E33" i="53"/>
  <c r="E27" i="53"/>
  <c r="E35" i="53"/>
  <c r="J16" i="53"/>
  <c r="J15" i="53"/>
  <c r="D14" i="53"/>
  <c r="X27" i="59"/>
  <c r="AB27" i="52"/>
  <c r="AB23" i="52"/>
  <c r="S24" i="55"/>
  <c r="AB74" i="61"/>
  <c r="W45" i="53" l="1"/>
  <c r="W46" i="53"/>
  <c r="W47" i="53"/>
  <c r="W48" i="53"/>
  <c r="W49" i="53"/>
  <c r="W50" i="53"/>
  <c r="W51" i="53"/>
  <c r="W52" i="53"/>
  <c r="W53" i="53"/>
  <c r="W54" i="53"/>
  <c r="W55" i="53"/>
  <c r="W56" i="53"/>
  <c r="W57" i="53"/>
  <c r="W58" i="53"/>
  <c r="W59" i="53"/>
  <c r="W60" i="53"/>
  <c r="W61" i="53"/>
  <c r="W62" i="53"/>
  <c r="W63" i="53"/>
  <c r="W64" i="53"/>
  <c r="W65" i="53"/>
  <c r="W66" i="53"/>
  <c r="W67" i="53"/>
  <c r="W68" i="53"/>
  <c r="W69" i="53"/>
  <c r="W70" i="53"/>
  <c r="W71" i="53"/>
  <c r="W72" i="53"/>
  <c r="W73" i="53"/>
  <c r="W74" i="53"/>
  <c r="W75" i="53"/>
  <c r="W44" i="53"/>
  <c r="V67" i="53"/>
  <c r="W40" i="53"/>
  <c r="AB34" i="53"/>
  <c r="R40" i="53"/>
  <c r="Q40" i="53"/>
  <c r="Q39" i="53"/>
  <c r="Q38" i="53"/>
  <c r="R37" i="53"/>
  <c r="Q37" i="53"/>
  <c r="Q36" i="53"/>
  <c r="Q35" i="53"/>
  <c r="Q34" i="53"/>
  <c r="Q33" i="53"/>
  <c r="R16" i="53"/>
  <c r="W76" i="53" l="1"/>
  <c r="AB27" i="58" l="1"/>
  <c r="AC27" i="58" s="1"/>
  <c r="AC24" i="58"/>
  <c r="Y27" i="58"/>
  <c r="Y23" i="58"/>
  <c r="X27" i="58"/>
  <c r="X24" i="58"/>
  <c r="AC27" i="59" l="1"/>
  <c r="AC24" i="59"/>
  <c r="AB27" i="59"/>
  <c r="AB24" i="59"/>
  <c r="W27" i="59"/>
  <c r="W27" i="48"/>
  <c r="AB18" i="48"/>
  <c r="AB16" i="59"/>
  <c r="AB25" i="59"/>
  <c r="AB78" i="48" l="1"/>
  <c r="Q25" i="48"/>
  <c r="AB44" i="52"/>
  <c r="AB14" i="55" l="1"/>
  <c r="AB33" i="55"/>
  <c r="AB44" i="55"/>
  <c r="W14" i="61" l="1"/>
  <c r="R21" i="61"/>
  <c r="R14" i="61"/>
  <c r="F66" i="63"/>
  <c r="F56" i="63"/>
  <c r="F37" i="63"/>
  <c r="F36" i="63"/>
  <c r="F35" i="63"/>
  <c r="F34" i="63"/>
  <c r="F33" i="63"/>
  <c r="F18" i="63"/>
  <c r="F16" i="63"/>
  <c r="E18" i="63"/>
  <c r="E16" i="63"/>
  <c r="K26" i="27" l="1"/>
  <c r="J26" i="27"/>
  <c r="I26" i="27"/>
  <c r="H26" i="27"/>
  <c r="G26" i="27"/>
  <c r="F26" i="27"/>
  <c r="E26" i="27"/>
  <c r="D26" i="27"/>
  <c r="C25" i="27"/>
  <c r="K27" i="27"/>
  <c r="C27" i="27"/>
  <c r="K25" i="27"/>
  <c r="K22" i="27"/>
  <c r="K21" i="27"/>
  <c r="K18" i="27"/>
  <c r="K17" i="27"/>
  <c r="K14" i="27"/>
  <c r="K13" i="27"/>
  <c r="C34" i="27"/>
  <c r="C26" i="27"/>
  <c r="G35" i="27"/>
  <c r="C22" i="27"/>
  <c r="C21" i="27"/>
  <c r="C17" i="27"/>
  <c r="C18" i="27"/>
  <c r="C14" i="27"/>
  <c r="C13" i="27"/>
  <c r="AB62" i="45"/>
  <c r="AA76" i="65" l="1"/>
  <c r="V16" i="65"/>
  <c r="E69" i="47" l="1"/>
  <c r="K67" i="40" l="1"/>
  <c r="K68" i="40"/>
  <c r="K69" i="40"/>
  <c r="K66" i="40"/>
  <c r="K61" i="40"/>
  <c r="K60" i="40"/>
  <c r="K49" i="40"/>
  <c r="K50" i="40"/>
  <c r="K51" i="40"/>
  <c r="K52" i="40"/>
  <c r="K53" i="40"/>
  <c r="K54" i="40"/>
  <c r="K55" i="40"/>
  <c r="K56" i="40"/>
  <c r="K48" i="40"/>
  <c r="K41" i="40"/>
  <c r="K34" i="40"/>
  <c r="K35" i="40"/>
  <c r="K36" i="40"/>
  <c r="K37" i="40"/>
  <c r="K38" i="40"/>
  <c r="K33" i="40"/>
  <c r="K24" i="40"/>
  <c r="K25" i="40"/>
  <c r="K26" i="40"/>
  <c r="K27" i="40"/>
  <c r="K28" i="40"/>
  <c r="K29" i="40"/>
  <c r="K23" i="40"/>
  <c r="J67" i="40"/>
  <c r="J68" i="40"/>
  <c r="J69" i="40"/>
  <c r="J66" i="40"/>
  <c r="J61" i="40"/>
  <c r="J60" i="40"/>
  <c r="J49" i="40"/>
  <c r="J50" i="40"/>
  <c r="J51" i="40"/>
  <c r="J52" i="40"/>
  <c r="J53" i="40"/>
  <c r="J54" i="40"/>
  <c r="J55" i="40"/>
  <c r="J56" i="40"/>
  <c r="J48" i="40"/>
  <c r="J41" i="40"/>
  <c r="J34" i="40"/>
  <c r="J35" i="40"/>
  <c r="J36" i="40"/>
  <c r="J37" i="40"/>
  <c r="J38" i="40"/>
  <c r="J33" i="40"/>
  <c r="J24" i="40"/>
  <c r="J25" i="40"/>
  <c r="J26" i="40"/>
  <c r="J27" i="40"/>
  <c r="J28" i="40"/>
  <c r="J29" i="40"/>
  <c r="J23" i="40"/>
  <c r="I67" i="40"/>
  <c r="I68" i="40"/>
  <c r="I69" i="40"/>
  <c r="I66" i="40"/>
  <c r="I61" i="40"/>
  <c r="I60" i="40"/>
  <c r="I49" i="40"/>
  <c r="I50" i="40"/>
  <c r="I51" i="40"/>
  <c r="I52" i="40"/>
  <c r="I53" i="40"/>
  <c r="I54" i="40"/>
  <c r="I55" i="40"/>
  <c r="I56" i="40"/>
  <c r="I48" i="40"/>
  <c r="I41" i="40"/>
  <c r="I34" i="40"/>
  <c r="I35" i="40"/>
  <c r="I36" i="40"/>
  <c r="I37" i="40"/>
  <c r="I38" i="40"/>
  <c r="I33" i="40"/>
  <c r="I24" i="40"/>
  <c r="I25" i="40"/>
  <c r="I26" i="40"/>
  <c r="I27" i="40"/>
  <c r="I28" i="40"/>
  <c r="I29" i="40"/>
  <c r="I23" i="40"/>
  <c r="H67" i="40"/>
  <c r="H68" i="40"/>
  <c r="H69" i="40"/>
  <c r="H66" i="40"/>
  <c r="H61" i="40"/>
  <c r="H60" i="40"/>
  <c r="H49" i="40"/>
  <c r="H50" i="40"/>
  <c r="H51" i="40"/>
  <c r="H52" i="40"/>
  <c r="H53" i="40"/>
  <c r="H54" i="40"/>
  <c r="H55" i="40"/>
  <c r="H56" i="40"/>
  <c r="H48" i="40"/>
  <c r="H41" i="40"/>
  <c r="H34" i="40"/>
  <c r="H35" i="40"/>
  <c r="H36" i="40"/>
  <c r="H37" i="40"/>
  <c r="H38" i="40"/>
  <c r="H33" i="40"/>
  <c r="H29" i="40"/>
  <c r="H24" i="40"/>
  <c r="H25" i="40"/>
  <c r="H26" i="40"/>
  <c r="H27" i="40"/>
  <c r="H28" i="40"/>
  <c r="H23" i="40"/>
  <c r="K15" i="40"/>
  <c r="K16" i="40"/>
  <c r="K17" i="40"/>
  <c r="K18" i="40"/>
  <c r="K19" i="40"/>
  <c r="J15" i="40"/>
  <c r="J16" i="40"/>
  <c r="J17" i="40"/>
  <c r="J18" i="40"/>
  <c r="J19" i="40"/>
  <c r="I15" i="40"/>
  <c r="I16" i="40"/>
  <c r="I17" i="40"/>
  <c r="I18" i="40"/>
  <c r="I19" i="40"/>
  <c r="H15" i="40"/>
  <c r="H16" i="40"/>
  <c r="H17" i="40"/>
  <c r="H18" i="40"/>
  <c r="H19" i="40"/>
  <c r="K14" i="40"/>
  <c r="J14" i="40"/>
  <c r="I14" i="40"/>
  <c r="H14" i="40"/>
  <c r="G67" i="40"/>
  <c r="G68" i="40"/>
  <c r="G69" i="40"/>
  <c r="G66" i="40"/>
  <c r="G61" i="40"/>
  <c r="G60" i="40"/>
  <c r="G49" i="40"/>
  <c r="G50" i="40"/>
  <c r="G51" i="40"/>
  <c r="G52" i="40"/>
  <c r="G53" i="40"/>
  <c r="G54" i="40"/>
  <c r="G55" i="40"/>
  <c r="G56" i="40"/>
  <c r="G48" i="40"/>
  <c r="G41" i="40"/>
  <c r="G34" i="40"/>
  <c r="G35" i="40"/>
  <c r="G36" i="40"/>
  <c r="G37" i="40"/>
  <c r="G38" i="40"/>
  <c r="G33" i="40"/>
  <c r="G24" i="40"/>
  <c r="G25" i="40"/>
  <c r="G26" i="40"/>
  <c r="G27" i="40"/>
  <c r="G28" i="40"/>
  <c r="G29" i="40"/>
  <c r="G23" i="40"/>
  <c r="G15" i="40"/>
  <c r="G16" i="40"/>
  <c r="G17" i="40"/>
  <c r="G18" i="40"/>
  <c r="G19" i="40"/>
  <c r="G14" i="40"/>
  <c r="F67" i="40"/>
  <c r="F68" i="40"/>
  <c r="F69" i="40"/>
  <c r="F66" i="40"/>
  <c r="F61" i="40"/>
  <c r="F60" i="40"/>
  <c r="F49" i="40"/>
  <c r="F50" i="40"/>
  <c r="F51" i="40"/>
  <c r="F52" i="40"/>
  <c r="F53" i="40"/>
  <c r="F54" i="40"/>
  <c r="F55" i="40"/>
  <c r="F56" i="40"/>
  <c r="F48" i="40"/>
  <c r="F41" i="40"/>
  <c r="F34" i="40"/>
  <c r="F35" i="40"/>
  <c r="F36" i="40"/>
  <c r="F37" i="40"/>
  <c r="F38" i="40"/>
  <c r="F33" i="40"/>
  <c r="F24" i="40"/>
  <c r="F25" i="40"/>
  <c r="F26" i="40"/>
  <c r="F27" i="40"/>
  <c r="F28" i="40"/>
  <c r="F29" i="40"/>
  <c r="F23" i="40"/>
  <c r="F15" i="40"/>
  <c r="F16" i="40"/>
  <c r="F17" i="40"/>
  <c r="F18" i="40"/>
  <c r="F19" i="40"/>
  <c r="F14" i="40"/>
  <c r="E67" i="40"/>
  <c r="E68" i="40"/>
  <c r="E69" i="40"/>
  <c r="E66" i="40"/>
  <c r="E61" i="40"/>
  <c r="E60" i="40"/>
  <c r="E56" i="40"/>
  <c r="E49" i="40"/>
  <c r="E50" i="40"/>
  <c r="E51" i="40"/>
  <c r="E52" i="40"/>
  <c r="E53" i="40"/>
  <c r="E54" i="40"/>
  <c r="E55" i="40"/>
  <c r="E48" i="40"/>
  <c r="E41" i="40"/>
  <c r="E34" i="40"/>
  <c r="E35" i="40"/>
  <c r="E36" i="40"/>
  <c r="E37" i="40"/>
  <c r="E38" i="40"/>
  <c r="E33" i="40"/>
  <c r="E24" i="40"/>
  <c r="E25" i="40"/>
  <c r="E26" i="40"/>
  <c r="E27" i="40"/>
  <c r="E28" i="40"/>
  <c r="E29" i="40"/>
  <c r="E23" i="40"/>
  <c r="E15" i="40"/>
  <c r="E16" i="40"/>
  <c r="E17" i="40"/>
  <c r="E18" i="40"/>
  <c r="E19" i="40"/>
  <c r="E14" i="40"/>
  <c r="D67" i="40"/>
  <c r="D68" i="40"/>
  <c r="D69" i="40"/>
  <c r="D66" i="40"/>
  <c r="D61" i="40"/>
  <c r="D60" i="40"/>
  <c r="D49" i="40"/>
  <c r="D50" i="40"/>
  <c r="D51" i="40"/>
  <c r="D52" i="40"/>
  <c r="D53" i="40"/>
  <c r="D54" i="40"/>
  <c r="D55" i="40"/>
  <c r="D56" i="40"/>
  <c r="D48" i="40"/>
  <c r="D41" i="40"/>
  <c r="D34" i="40"/>
  <c r="D35" i="40"/>
  <c r="D36" i="40"/>
  <c r="D37" i="40"/>
  <c r="D38" i="40"/>
  <c r="D33" i="40"/>
  <c r="D24" i="40"/>
  <c r="D25" i="40"/>
  <c r="D26" i="40"/>
  <c r="D27" i="40"/>
  <c r="D28" i="40"/>
  <c r="D29" i="40"/>
  <c r="D23" i="40"/>
  <c r="D15" i="40"/>
  <c r="D16" i="40"/>
  <c r="D17" i="40"/>
  <c r="D18" i="40"/>
  <c r="D19" i="40"/>
  <c r="D14" i="40"/>
  <c r="C67" i="40"/>
  <c r="C68" i="40"/>
  <c r="C69" i="40"/>
  <c r="C66" i="40"/>
  <c r="C61" i="40"/>
  <c r="C60" i="40"/>
  <c r="C49" i="40"/>
  <c r="C50" i="40"/>
  <c r="C51" i="40"/>
  <c r="C52" i="40"/>
  <c r="C53" i="40"/>
  <c r="C54" i="40"/>
  <c r="C55" i="40"/>
  <c r="C56" i="40"/>
  <c r="C48" i="40"/>
  <c r="C41" i="40"/>
  <c r="C34" i="40"/>
  <c r="C35" i="40"/>
  <c r="C36" i="40"/>
  <c r="C37" i="40"/>
  <c r="C38" i="40"/>
  <c r="C33" i="40"/>
  <c r="C25" i="40"/>
  <c r="C26" i="40"/>
  <c r="C27" i="40"/>
  <c r="C28" i="40"/>
  <c r="C29" i="40"/>
  <c r="C23" i="40"/>
  <c r="C15" i="40"/>
  <c r="C16" i="40"/>
  <c r="C17" i="40"/>
  <c r="C18" i="40"/>
  <c r="C19" i="40"/>
  <c r="C14" i="40"/>
  <c r="AA14" i="46"/>
  <c r="C25" i="53" l="1"/>
  <c r="B25" i="53"/>
  <c r="B79" i="53" s="1"/>
  <c r="B78" i="53"/>
  <c r="AA41" i="53" l="1"/>
  <c r="C20" i="49" l="1"/>
  <c r="B20" i="49"/>
  <c r="D20" i="49"/>
  <c r="W40" i="59" l="1"/>
  <c r="W39" i="59"/>
  <c r="W38" i="59"/>
  <c r="W37" i="59"/>
  <c r="W36" i="59"/>
  <c r="W35" i="59"/>
  <c r="W34" i="59"/>
  <c r="W33" i="59"/>
  <c r="AA83" i="48" l="1"/>
  <c r="I73" i="55" l="1"/>
  <c r="V39" i="59" l="1"/>
  <c r="V40" i="59"/>
  <c r="V34" i="59"/>
  <c r="V35" i="59"/>
  <c r="V36" i="59"/>
  <c r="V37" i="59"/>
  <c r="V38" i="59"/>
  <c r="V33" i="59"/>
  <c r="V16" i="59"/>
  <c r="D19" i="52" l="1"/>
  <c r="D20" i="52"/>
  <c r="I21" i="52"/>
  <c r="AA25" i="55"/>
  <c r="L14" i="46" l="1"/>
  <c r="M14" i="46"/>
  <c r="Q14" i="46"/>
  <c r="R14" i="46"/>
  <c r="L15" i="46"/>
  <c r="M15" i="46"/>
  <c r="Q15" i="46"/>
  <c r="R15" i="46"/>
  <c r="L16" i="46"/>
  <c r="M16" i="46"/>
  <c r="Q16" i="46"/>
  <c r="R16" i="46"/>
  <c r="L17" i="46"/>
  <c r="M17" i="46"/>
  <c r="Q17" i="46"/>
  <c r="R17" i="46"/>
  <c r="L18" i="46"/>
  <c r="M18" i="46"/>
  <c r="N18" i="46" s="1"/>
  <c r="O18" i="46" s="1"/>
  <c r="Q18" i="46"/>
  <c r="R18" i="46"/>
  <c r="L19" i="46"/>
  <c r="M19" i="46"/>
  <c r="Q19" i="46"/>
  <c r="R19" i="46"/>
  <c r="L20" i="46"/>
  <c r="M20" i="46"/>
  <c r="N20" i="46" s="1"/>
  <c r="O20" i="46" s="1"/>
  <c r="Q20" i="46"/>
  <c r="R20" i="46"/>
  <c r="L21" i="46"/>
  <c r="M21" i="46"/>
  <c r="Q21" i="46"/>
  <c r="R21" i="46"/>
  <c r="L22" i="46"/>
  <c r="M22" i="46"/>
  <c r="Q22" i="46"/>
  <c r="R22" i="46"/>
  <c r="L23" i="46"/>
  <c r="M23" i="46"/>
  <c r="Q23" i="46"/>
  <c r="R23" i="46"/>
  <c r="T26" i="46"/>
  <c r="L27" i="46"/>
  <c r="M27" i="46"/>
  <c r="Q27" i="46"/>
  <c r="R27" i="46"/>
  <c r="T28" i="46"/>
  <c r="L33" i="46"/>
  <c r="M33" i="46"/>
  <c r="N33" i="46" s="1"/>
  <c r="Q33" i="46"/>
  <c r="R33" i="46"/>
  <c r="L34" i="46"/>
  <c r="M34" i="46"/>
  <c r="Q34" i="46"/>
  <c r="R34" i="46"/>
  <c r="S34" i="46" s="1"/>
  <c r="T34" i="46" s="1"/>
  <c r="L35" i="46"/>
  <c r="M35" i="46"/>
  <c r="Q35" i="46"/>
  <c r="R35" i="46"/>
  <c r="L36" i="46"/>
  <c r="M36" i="46"/>
  <c r="Q36" i="46"/>
  <c r="R36" i="46"/>
  <c r="S36" i="46" s="1"/>
  <c r="T36" i="46" s="1"/>
  <c r="L37" i="46"/>
  <c r="M37" i="46"/>
  <c r="Q37" i="46"/>
  <c r="R37" i="46"/>
  <c r="L38" i="46"/>
  <c r="M38" i="46"/>
  <c r="Q38" i="46"/>
  <c r="R38" i="46"/>
  <c r="S38" i="46" s="1"/>
  <c r="T38" i="46" s="1"/>
  <c r="L39" i="46"/>
  <c r="M39" i="46"/>
  <c r="Q39" i="46"/>
  <c r="R39" i="46"/>
  <c r="L40" i="46"/>
  <c r="M40" i="46"/>
  <c r="Q40" i="46"/>
  <c r="R40" i="46"/>
  <c r="L44" i="46"/>
  <c r="M44" i="46"/>
  <c r="Q44" i="46"/>
  <c r="R44" i="46"/>
  <c r="L45" i="46"/>
  <c r="M45" i="46"/>
  <c r="Q45" i="46"/>
  <c r="R45" i="46"/>
  <c r="L46" i="46"/>
  <c r="M46" i="46"/>
  <c r="Q46" i="46"/>
  <c r="R46" i="46"/>
  <c r="L47" i="46"/>
  <c r="M47" i="46"/>
  <c r="Q47" i="46"/>
  <c r="R47" i="46"/>
  <c r="L48" i="46"/>
  <c r="M48" i="46"/>
  <c r="Q48" i="46"/>
  <c r="R48" i="46"/>
  <c r="L49" i="46"/>
  <c r="M49" i="46"/>
  <c r="Q49" i="46"/>
  <c r="R49" i="46"/>
  <c r="L50" i="46"/>
  <c r="M50" i="46"/>
  <c r="Q50" i="46"/>
  <c r="R50" i="46"/>
  <c r="L51" i="46"/>
  <c r="M51" i="46"/>
  <c r="Q51" i="46"/>
  <c r="R51" i="46"/>
  <c r="L52" i="46"/>
  <c r="M52" i="46"/>
  <c r="Q52" i="46"/>
  <c r="R52" i="46"/>
  <c r="L53" i="46"/>
  <c r="M53" i="46"/>
  <c r="Q53" i="46"/>
  <c r="R53" i="46"/>
  <c r="L54" i="46"/>
  <c r="M54" i="46"/>
  <c r="Q54" i="46"/>
  <c r="R54" i="46"/>
  <c r="L55" i="46"/>
  <c r="M55" i="46"/>
  <c r="Q55" i="46"/>
  <c r="R55" i="46"/>
  <c r="L56" i="46"/>
  <c r="M56" i="46"/>
  <c r="Q56" i="46"/>
  <c r="R56" i="46"/>
  <c r="L57" i="46"/>
  <c r="M57" i="46"/>
  <c r="Q57" i="46"/>
  <c r="R57" i="46"/>
  <c r="L58" i="46"/>
  <c r="M58" i="46"/>
  <c r="Q58" i="46"/>
  <c r="R58" i="46"/>
  <c r="L59" i="46"/>
  <c r="M59" i="46"/>
  <c r="Q59" i="46"/>
  <c r="R59" i="46"/>
  <c r="L60" i="46"/>
  <c r="M60" i="46"/>
  <c r="Q60" i="46"/>
  <c r="R60" i="46"/>
  <c r="L61" i="46"/>
  <c r="M61" i="46"/>
  <c r="Q61" i="46"/>
  <c r="R61" i="46"/>
  <c r="L62" i="46"/>
  <c r="M62" i="46"/>
  <c r="Q62" i="46"/>
  <c r="R62" i="46"/>
  <c r="L63" i="46"/>
  <c r="M63" i="46"/>
  <c r="Q63" i="46"/>
  <c r="R63" i="46"/>
  <c r="L64" i="46"/>
  <c r="M64" i="46"/>
  <c r="Q64" i="46"/>
  <c r="R64" i="46"/>
  <c r="L65" i="46"/>
  <c r="M65" i="46"/>
  <c r="Q65" i="46"/>
  <c r="R65" i="46"/>
  <c r="L66" i="46"/>
  <c r="M66" i="46"/>
  <c r="Q66" i="46"/>
  <c r="R66" i="46"/>
  <c r="L67" i="46"/>
  <c r="M67" i="46"/>
  <c r="Q67" i="46"/>
  <c r="R67" i="46"/>
  <c r="L68" i="46"/>
  <c r="M68" i="46"/>
  <c r="Q68" i="46"/>
  <c r="R68" i="46"/>
  <c r="L69" i="46"/>
  <c r="M69" i="46"/>
  <c r="Q69" i="46"/>
  <c r="R69" i="46"/>
  <c r="L70" i="46"/>
  <c r="M70" i="46"/>
  <c r="Q70" i="46"/>
  <c r="R70" i="46"/>
  <c r="L71" i="46"/>
  <c r="M71" i="46"/>
  <c r="Q71" i="46"/>
  <c r="R71" i="46"/>
  <c r="L72" i="46"/>
  <c r="M72" i="46"/>
  <c r="Q72" i="46"/>
  <c r="R72" i="46"/>
  <c r="L73" i="46"/>
  <c r="M73" i="46"/>
  <c r="Q73" i="46"/>
  <c r="R73" i="46"/>
  <c r="L74" i="46"/>
  <c r="M74" i="46"/>
  <c r="Q74" i="46"/>
  <c r="R74" i="46"/>
  <c r="L75" i="46"/>
  <c r="M75" i="46"/>
  <c r="Q75" i="46"/>
  <c r="R75" i="46"/>
  <c r="P79" i="46"/>
  <c r="N80" i="46"/>
  <c r="S80" i="46"/>
  <c r="O81" i="46"/>
  <c r="P81" i="46"/>
  <c r="T81" i="46"/>
  <c r="N82" i="46"/>
  <c r="O82" i="46" s="1"/>
  <c r="S82" i="46"/>
  <c r="T82" i="46" s="1"/>
  <c r="N22" i="46" l="1"/>
  <c r="O22" i="46" s="1"/>
  <c r="S53" i="46"/>
  <c r="T53" i="46" s="1"/>
  <c r="S47" i="46"/>
  <c r="T47" i="46" s="1"/>
  <c r="S74" i="46"/>
  <c r="T74" i="46" s="1"/>
  <c r="S51" i="46"/>
  <c r="T51" i="46" s="1"/>
  <c r="S18" i="46"/>
  <c r="T18" i="46" s="1"/>
  <c r="S57" i="46"/>
  <c r="T57" i="46" s="1"/>
  <c r="N44" i="46"/>
  <c r="O44" i="46" s="1"/>
  <c r="S14" i="46"/>
  <c r="T14" i="46" s="1"/>
  <c r="S72" i="46"/>
  <c r="T72" i="46" s="1"/>
  <c r="S70" i="46"/>
  <c r="T70" i="46" s="1"/>
  <c r="S67" i="46"/>
  <c r="T67" i="46" s="1"/>
  <c r="S65" i="46"/>
  <c r="T65" i="46" s="1"/>
  <c r="S44" i="46"/>
  <c r="T44" i="46" s="1"/>
  <c r="S75" i="46"/>
  <c r="T75" i="46" s="1"/>
  <c r="N46" i="46"/>
  <c r="O46" i="46" s="1"/>
  <c r="S16" i="46"/>
  <c r="T16" i="46" s="1"/>
  <c r="S37" i="46"/>
  <c r="T37" i="46" s="1"/>
  <c r="S68" i="46"/>
  <c r="T68" i="46" s="1"/>
  <c r="S66" i="46"/>
  <c r="T66" i="46" s="1"/>
  <c r="S63" i="46"/>
  <c r="T63" i="46" s="1"/>
  <c r="S55" i="46"/>
  <c r="T55" i="46" s="1"/>
  <c r="S73" i="46"/>
  <c r="T73" i="46" s="1"/>
  <c r="S71" i="46"/>
  <c r="T71" i="46" s="1"/>
  <c r="S69" i="46"/>
  <c r="T69" i="46" s="1"/>
  <c r="S61" i="46"/>
  <c r="T61" i="46" s="1"/>
  <c r="S59" i="46"/>
  <c r="T59" i="46" s="1"/>
  <c r="S49" i="46"/>
  <c r="T49" i="46" s="1"/>
  <c r="S40" i="46"/>
  <c r="T40" i="46" s="1"/>
  <c r="S21" i="46"/>
  <c r="T21" i="46" s="1"/>
  <c r="S20" i="46"/>
  <c r="T20" i="46" s="1"/>
  <c r="S23" i="46"/>
  <c r="T23" i="46" s="1"/>
  <c r="S22" i="46"/>
  <c r="T22" i="46" s="1"/>
  <c r="S19" i="46"/>
  <c r="T19" i="46" s="1"/>
  <c r="S17" i="46"/>
  <c r="T17" i="46" s="1"/>
  <c r="S15" i="46"/>
  <c r="T15" i="46" s="1"/>
  <c r="N21" i="46"/>
  <c r="O21" i="46" s="1"/>
  <c r="N36" i="46"/>
  <c r="O36" i="46" s="1"/>
  <c r="N35" i="46"/>
  <c r="O35" i="46" s="1"/>
  <c r="N23" i="46"/>
  <c r="O23" i="46" s="1"/>
  <c r="N47" i="46"/>
  <c r="O47" i="46" s="1"/>
  <c r="N48" i="46"/>
  <c r="O48" i="46" s="1"/>
  <c r="N19" i="46"/>
  <c r="O19" i="46" s="1"/>
  <c r="N17" i="46"/>
  <c r="O17" i="46" s="1"/>
  <c r="N15" i="46"/>
  <c r="O15" i="46" s="1"/>
  <c r="N16" i="46"/>
  <c r="O16" i="46" s="1"/>
  <c r="N14" i="46"/>
  <c r="O14" i="46" s="1"/>
  <c r="S27" i="46"/>
  <c r="T27" i="46" s="1"/>
  <c r="N39" i="46"/>
  <c r="O39" i="46" s="1"/>
  <c r="N51" i="46"/>
  <c r="O51" i="46" s="1"/>
  <c r="N49" i="46"/>
  <c r="O49" i="46" s="1"/>
  <c r="N38" i="46"/>
  <c r="O38" i="46" s="1"/>
  <c r="N45" i="46"/>
  <c r="O45" i="46" s="1"/>
  <c r="N40" i="46"/>
  <c r="O40" i="46" s="1"/>
  <c r="Q41" i="46"/>
  <c r="L76" i="46"/>
  <c r="N52" i="46"/>
  <c r="O52" i="46" s="1"/>
  <c r="N50" i="46"/>
  <c r="O50" i="46" s="1"/>
  <c r="N34" i="46"/>
  <c r="O34" i="46" s="1"/>
  <c r="S45" i="46"/>
  <c r="T45" i="46" s="1"/>
  <c r="M41" i="46"/>
  <c r="N37" i="46"/>
  <c r="O37" i="46" s="1"/>
  <c r="O33" i="46"/>
  <c r="N75" i="46"/>
  <c r="O75" i="46" s="1"/>
  <c r="N73" i="46"/>
  <c r="O73" i="46" s="1"/>
  <c r="N71" i="46"/>
  <c r="O71" i="46" s="1"/>
  <c r="N69" i="46"/>
  <c r="O69" i="46" s="1"/>
  <c r="N67" i="46"/>
  <c r="O67" i="46" s="1"/>
  <c r="N65" i="46"/>
  <c r="O65" i="46" s="1"/>
  <c r="N63" i="46"/>
  <c r="O63" i="46" s="1"/>
  <c r="N61" i="46"/>
  <c r="O61" i="46" s="1"/>
  <c r="N59" i="46"/>
  <c r="O59" i="46" s="1"/>
  <c r="N57" i="46"/>
  <c r="O57" i="46" s="1"/>
  <c r="N55" i="46"/>
  <c r="O55" i="46" s="1"/>
  <c r="N53" i="46"/>
  <c r="O53" i="46" s="1"/>
  <c r="S35" i="46"/>
  <c r="T35" i="46" s="1"/>
  <c r="S64" i="46"/>
  <c r="T64" i="46" s="1"/>
  <c r="S62" i="46"/>
  <c r="T62" i="46" s="1"/>
  <c r="S60" i="46"/>
  <c r="T60" i="46" s="1"/>
  <c r="S58" i="46"/>
  <c r="T58" i="46" s="1"/>
  <c r="S56" i="46"/>
  <c r="T56" i="46" s="1"/>
  <c r="S54" i="46"/>
  <c r="T54" i="46" s="1"/>
  <c r="S52" i="46"/>
  <c r="T52" i="46" s="1"/>
  <c r="S50" i="46"/>
  <c r="T50" i="46" s="1"/>
  <c r="S48" i="46"/>
  <c r="T48" i="46" s="1"/>
  <c r="S33" i="46"/>
  <c r="T33" i="46" s="1"/>
  <c r="L41" i="46"/>
  <c r="Q76" i="46"/>
  <c r="M76" i="46"/>
  <c r="N72" i="46"/>
  <c r="O72" i="46" s="1"/>
  <c r="N70" i="46"/>
  <c r="O70" i="46" s="1"/>
  <c r="N68" i="46"/>
  <c r="O68" i="46" s="1"/>
  <c r="N66" i="46"/>
  <c r="O66" i="46" s="1"/>
  <c r="N64" i="46"/>
  <c r="O64" i="46" s="1"/>
  <c r="N62" i="46"/>
  <c r="O62" i="46" s="1"/>
  <c r="N60" i="46"/>
  <c r="O60" i="46" s="1"/>
  <c r="N58" i="46"/>
  <c r="O58" i="46" s="1"/>
  <c r="N56" i="46"/>
  <c r="O56" i="46" s="1"/>
  <c r="N54" i="46"/>
  <c r="O54" i="46" s="1"/>
  <c r="S46" i="46"/>
  <c r="T46" i="46" s="1"/>
  <c r="S39" i="46"/>
  <c r="T39" i="46" s="1"/>
  <c r="N27" i="46"/>
  <c r="O27" i="46" s="1"/>
  <c r="R41" i="46"/>
  <c r="N74" i="46"/>
  <c r="O74" i="46" s="1"/>
  <c r="R76" i="46"/>
  <c r="I44" i="55"/>
  <c r="I74" i="55"/>
  <c r="Q78" i="46" l="1"/>
  <c r="L78" i="46"/>
  <c r="M78" i="46"/>
  <c r="N41" i="46"/>
  <c r="O41" i="46" s="1"/>
  <c r="R78" i="46"/>
  <c r="S76" i="46"/>
  <c r="T76" i="46" s="1"/>
  <c r="S41" i="46"/>
  <c r="T41" i="46" s="1"/>
  <c r="N76" i="46"/>
  <c r="S78" i="46" l="1"/>
  <c r="T78" i="46" s="1"/>
  <c r="N78" i="46"/>
  <c r="O76" i="46"/>
  <c r="O78" i="46" l="1"/>
  <c r="D61" i="61"/>
  <c r="D67" i="61"/>
  <c r="V14" i="61" l="1"/>
  <c r="W14" i="45"/>
  <c r="AB14" i="45" s="1"/>
  <c r="V14" i="45"/>
  <c r="R76" i="53" l="1"/>
  <c r="V33" i="53"/>
  <c r="Q25" i="53"/>
  <c r="Q24" i="46" s="1"/>
  <c r="Q25" i="46" s="1"/>
  <c r="S18" i="53"/>
  <c r="V18" i="53"/>
  <c r="Q29" i="46" l="1"/>
  <c r="Q79" i="46"/>
  <c r="Q81" i="46" s="1"/>
  <c r="Q83" i="46" s="1"/>
  <c r="N15" i="58"/>
  <c r="N16" i="58"/>
  <c r="N17" i="58"/>
  <c r="N18" i="58"/>
  <c r="N19" i="58"/>
  <c r="N20" i="58"/>
  <c r="N21" i="58"/>
  <c r="N22" i="58"/>
  <c r="N23" i="58"/>
  <c r="N24" i="58"/>
  <c r="N14" i="58"/>
  <c r="W14" i="58"/>
  <c r="AB14" i="58" s="1"/>
  <c r="S63" i="48" l="1"/>
  <c r="D20" i="40" l="1"/>
  <c r="E20" i="49" l="1"/>
  <c r="AA33" i="46" l="1"/>
  <c r="I18" i="53" l="1"/>
  <c r="W33" i="53"/>
  <c r="AB33" i="53" s="1"/>
  <c r="W18" i="53"/>
  <c r="AB18" i="53" s="1"/>
  <c r="AC18" i="53" s="1"/>
  <c r="W14" i="53"/>
  <c r="AB14" i="53" s="1"/>
  <c r="AA25" i="53"/>
  <c r="AA27" i="53"/>
  <c r="AA76" i="53"/>
  <c r="AC81" i="53"/>
  <c r="AA29" i="53" l="1"/>
  <c r="AA78" i="53"/>
  <c r="AA79" i="53" s="1"/>
  <c r="AA81" i="53" s="1"/>
  <c r="AA83" i="53" s="1"/>
  <c r="AC14" i="53"/>
  <c r="AC33" i="53"/>
  <c r="AA76" i="45" l="1"/>
  <c r="V14" i="65" l="1"/>
  <c r="M25" i="48" l="1"/>
  <c r="L25" i="48"/>
  <c r="B14" i="46" l="1"/>
  <c r="B17" i="40" l="1"/>
  <c r="V14" i="58"/>
  <c r="B14" i="40" l="1"/>
  <c r="G44" i="46" l="1"/>
  <c r="G25" i="48"/>
  <c r="H25" i="48"/>
  <c r="C25" i="48"/>
  <c r="B25" i="48"/>
  <c r="V24" i="55"/>
  <c r="AA76" i="55" l="1"/>
  <c r="AA78" i="55" s="1"/>
  <c r="G34" i="46" l="1"/>
  <c r="G35" i="46"/>
  <c r="G36" i="46"/>
  <c r="G37" i="46"/>
  <c r="G38" i="46"/>
  <c r="G39" i="46"/>
  <c r="G40" i="46"/>
  <c r="H34" i="46"/>
  <c r="H35" i="46"/>
  <c r="H36" i="46"/>
  <c r="H37" i="46"/>
  <c r="H38" i="46"/>
  <c r="H39" i="46"/>
  <c r="H40" i="46"/>
  <c r="G33" i="46"/>
  <c r="C34" i="46"/>
  <c r="C35" i="46"/>
  <c r="C36" i="46"/>
  <c r="C37" i="46"/>
  <c r="C38" i="46"/>
  <c r="C39" i="46"/>
  <c r="C40" i="46"/>
  <c r="C33" i="46"/>
  <c r="B34" i="46"/>
  <c r="B35" i="46"/>
  <c r="B36" i="46"/>
  <c r="B37" i="46"/>
  <c r="B38" i="46"/>
  <c r="B39" i="46"/>
  <c r="B40" i="46"/>
  <c r="B33" i="46"/>
  <c r="B15" i="46"/>
  <c r="B16" i="46"/>
  <c r="B17" i="46"/>
  <c r="B18" i="46"/>
  <c r="B19" i="46"/>
  <c r="B20" i="46"/>
  <c r="B21" i="46"/>
  <c r="B22" i="46"/>
  <c r="B23" i="46"/>
  <c r="B24" i="46"/>
  <c r="D36" i="46" l="1"/>
  <c r="D33" i="46"/>
  <c r="D37" i="46"/>
  <c r="D35" i="46"/>
  <c r="D34" i="46"/>
  <c r="D39" i="46"/>
  <c r="D40" i="46"/>
  <c r="D38" i="46"/>
  <c r="I16" i="58" l="1"/>
  <c r="I17" i="58"/>
  <c r="I18" i="58"/>
  <c r="I19" i="58"/>
  <c r="I20" i="58"/>
  <c r="I21" i="58"/>
  <c r="I22" i="58"/>
  <c r="I23" i="58"/>
  <c r="I24" i="58"/>
  <c r="G76" i="53" l="1"/>
  <c r="H76" i="53"/>
  <c r="AA76" i="58" l="1"/>
  <c r="AA25" i="52" l="1"/>
  <c r="W34" i="52"/>
  <c r="B20" i="44" l="1"/>
  <c r="C20" i="44"/>
  <c r="D20" i="44"/>
  <c r="B30" i="44"/>
  <c r="C30" i="44"/>
  <c r="D30" i="44"/>
  <c r="B39" i="44"/>
  <c r="C39" i="44"/>
  <c r="D39" i="44"/>
  <c r="B57" i="44"/>
  <c r="C57" i="44"/>
  <c r="D57" i="44"/>
  <c r="B63" i="44"/>
  <c r="C63" i="44"/>
  <c r="D63" i="44"/>
  <c r="D43" i="44" l="1"/>
  <c r="B43" i="44"/>
  <c r="C43" i="44"/>
  <c r="AA75" i="46"/>
  <c r="AA74" i="46"/>
  <c r="AA73" i="46"/>
  <c r="AA72" i="46"/>
  <c r="AA71" i="46"/>
  <c r="AA70" i="46"/>
  <c r="AA69" i="46"/>
  <c r="AA68" i="46"/>
  <c r="AA67" i="46"/>
  <c r="AA66" i="46"/>
  <c r="AA65" i="46"/>
  <c r="AA64" i="46"/>
  <c r="AA63" i="46"/>
  <c r="AA62" i="46"/>
  <c r="AA61" i="46"/>
  <c r="AA60" i="46"/>
  <c r="AA59" i="46"/>
  <c r="AA58" i="46"/>
  <c r="AA57" i="46"/>
  <c r="AA56" i="46"/>
  <c r="AA55" i="46"/>
  <c r="AA54" i="46"/>
  <c r="AA53" i="46"/>
  <c r="AA52" i="46"/>
  <c r="AA51" i="46"/>
  <c r="AA50" i="46"/>
  <c r="AA49" i="46"/>
  <c r="AA48" i="46"/>
  <c r="AA47" i="46"/>
  <c r="AA46" i="46"/>
  <c r="AA45" i="46"/>
  <c r="AA44" i="46"/>
  <c r="AA35" i="46"/>
  <c r="AA36" i="46"/>
  <c r="AA37" i="46"/>
  <c r="AA38" i="46"/>
  <c r="AA39" i="46"/>
  <c r="AA40" i="46"/>
  <c r="AA34" i="46"/>
  <c r="AA27" i="46"/>
  <c r="AA15" i="46"/>
  <c r="AA16" i="46"/>
  <c r="AA17" i="46"/>
  <c r="AA18" i="46"/>
  <c r="AA19" i="46"/>
  <c r="AA20" i="46"/>
  <c r="AA21" i="46"/>
  <c r="AA22" i="46"/>
  <c r="AA23" i="46"/>
  <c r="AA24" i="46"/>
  <c r="H45" i="46"/>
  <c r="H46" i="46"/>
  <c r="H47" i="46"/>
  <c r="H48" i="46"/>
  <c r="H49" i="46"/>
  <c r="H50" i="46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66" i="46"/>
  <c r="H67" i="46"/>
  <c r="H68" i="46"/>
  <c r="H69" i="46"/>
  <c r="H70" i="46"/>
  <c r="H71" i="46"/>
  <c r="H72" i="46"/>
  <c r="H73" i="46"/>
  <c r="H74" i="46"/>
  <c r="H75" i="46"/>
  <c r="H44" i="46"/>
  <c r="H33" i="46"/>
  <c r="H27" i="46"/>
  <c r="H15" i="46"/>
  <c r="H16" i="46"/>
  <c r="H17" i="46"/>
  <c r="H18" i="46"/>
  <c r="H19" i="46"/>
  <c r="H20" i="46"/>
  <c r="H21" i="46"/>
  <c r="H22" i="46"/>
  <c r="H23" i="46"/>
  <c r="H14" i="46"/>
  <c r="G45" i="46"/>
  <c r="G46" i="46"/>
  <c r="G47" i="46"/>
  <c r="G48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27" i="46"/>
  <c r="G15" i="46"/>
  <c r="G16" i="46"/>
  <c r="G17" i="46"/>
  <c r="G18" i="46"/>
  <c r="G19" i="46"/>
  <c r="G20" i="46"/>
  <c r="G21" i="46"/>
  <c r="G22" i="46"/>
  <c r="G23" i="46"/>
  <c r="G14" i="46"/>
  <c r="V14" i="46" s="1"/>
  <c r="C75" i="46"/>
  <c r="C74" i="46"/>
  <c r="C73" i="46"/>
  <c r="C72" i="46"/>
  <c r="C71" i="46"/>
  <c r="C70" i="46"/>
  <c r="C69" i="46"/>
  <c r="C68" i="46"/>
  <c r="C67" i="46"/>
  <c r="C66" i="46"/>
  <c r="C65" i="46"/>
  <c r="C64" i="46"/>
  <c r="C63" i="46"/>
  <c r="C62" i="46"/>
  <c r="C61" i="46"/>
  <c r="C60" i="46"/>
  <c r="C59" i="46"/>
  <c r="C58" i="46"/>
  <c r="C57" i="46"/>
  <c r="C56" i="46"/>
  <c r="C55" i="46"/>
  <c r="C54" i="46"/>
  <c r="C53" i="46"/>
  <c r="C52" i="46"/>
  <c r="C51" i="46"/>
  <c r="C50" i="46"/>
  <c r="C49" i="46"/>
  <c r="C48" i="46"/>
  <c r="C47" i="46"/>
  <c r="C46" i="46"/>
  <c r="C45" i="46"/>
  <c r="C44" i="46"/>
  <c r="C27" i="46"/>
  <c r="C15" i="46"/>
  <c r="C16" i="46"/>
  <c r="C17" i="46"/>
  <c r="C18" i="46"/>
  <c r="C19" i="46"/>
  <c r="C20" i="46"/>
  <c r="C21" i="46"/>
  <c r="C22" i="46"/>
  <c r="C23" i="46"/>
  <c r="C24" i="46"/>
  <c r="C14" i="46"/>
  <c r="B75" i="46"/>
  <c r="B74" i="46"/>
  <c r="B73" i="46"/>
  <c r="B72" i="46"/>
  <c r="B71" i="46"/>
  <c r="B70" i="46"/>
  <c r="B69" i="46"/>
  <c r="B68" i="46"/>
  <c r="B67" i="46"/>
  <c r="B66" i="46"/>
  <c r="B65" i="46"/>
  <c r="B64" i="46"/>
  <c r="B63" i="46"/>
  <c r="B62" i="46"/>
  <c r="B61" i="46"/>
  <c r="B60" i="46"/>
  <c r="B59" i="46"/>
  <c r="B58" i="46"/>
  <c r="B57" i="46"/>
  <c r="B56" i="46"/>
  <c r="B55" i="46"/>
  <c r="B54" i="46"/>
  <c r="B53" i="46"/>
  <c r="B52" i="46"/>
  <c r="B51" i="46"/>
  <c r="B50" i="46"/>
  <c r="B49" i="46"/>
  <c r="B48" i="46"/>
  <c r="B47" i="46"/>
  <c r="B46" i="46"/>
  <c r="B45" i="46"/>
  <c r="B44" i="46"/>
  <c r="B27" i="46"/>
  <c r="B29" i="46" s="1"/>
  <c r="W14" i="46" l="1"/>
  <c r="X14" i="46" s="1"/>
  <c r="H76" i="46"/>
  <c r="AA76" i="46"/>
  <c r="G76" i="46"/>
  <c r="C76" i="46"/>
  <c r="B76" i="46"/>
  <c r="B51" i="40"/>
  <c r="B15" i="40"/>
  <c r="B69" i="40"/>
  <c r="B68" i="40"/>
  <c r="B50" i="40"/>
  <c r="B19" i="40"/>
  <c r="B26" i="40"/>
  <c r="B23" i="40"/>
  <c r="B16" i="40"/>
  <c r="B29" i="40"/>
  <c r="B37" i="40"/>
  <c r="B67" i="40"/>
  <c r="B48" i="40"/>
  <c r="B35" i="40"/>
  <c r="B18" i="40"/>
  <c r="B28" i="40"/>
  <c r="B53" i="40"/>
  <c r="B66" i="40"/>
  <c r="B26" i="27"/>
  <c r="B38" i="40"/>
  <c r="B24" i="40"/>
  <c r="B27" i="40"/>
  <c r="B56" i="40"/>
  <c r="B61" i="40"/>
  <c r="B60" i="40"/>
  <c r="B25" i="40"/>
  <c r="B41" i="40"/>
  <c r="B36" i="40"/>
  <c r="B33" i="40"/>
  <c r="B49" i="40"/>
  <c r="B52" i="40"/>
  <c r="B34" i="40"/>
  <c r="B55" i="40"/>
  <c r="B54" i="40"/>
  <c r="V24" i="52"/>
  <c r="V23" i="52"/>
  <c r="V22" i="52"/>
  <c r="V21" i="52"/>
  <c r="V20" i="52"/>
  <c r="V19" i="52"/>
  <c r="V18" i="52"/>
  <c r="V17" i="52"/>
  <c r="V16" i="52"/>
  <c r="V15" i="52"/>
  <c r="W33" i="52"/>
  <c r="W14" i="52"/>
  <c r="W15" i="52"/>
  <c r="W16" i="52"/>
  <c r="W17" i="52"/>
  <c r="W18" i="52"/>
  <c r="W19" i="52"/>
  <c r="W20" i="52"/>
  <c r="W21" i="52"/>
  <c r="W22" i="52"/>
  <c r="W23" i="52"/>
  <c r="W24" i="52"/>
  <c r="W27" i="52"/>
  <c r="W35" i="52"/>
  <c r="W36" i="52"/>
  <c r="W37" i="52"/>
  <c r="W38" i="52"/>
  <c r="W39" i="52"/>
  <c r="W40" i="52"/>
  <c r="W44" i="52"/>
  <c r="W45" i="52"/>
  <c r="W46" i="52"/>
  <c r="W47" i="52"/>
  <c r="W48" i="52"/>
  <c r="W49" i="52"/>
  <c r="W50" i="52"/>
  <c r="W51" i="52"/>
  <c r="W52" i="52"/>
  <c r="W53" i="52"/>
  <c r="W54" i="52"/>
  <c r="W55" i="52"/>
  <c r="W56" i="52"/>
  <c r="W57" i="52"/>
  <c r="W58" i="52"/>
  <c r="W59" i="52"/>
  <c r="W60" i="52"/>
  <c r="W61" i="52"/>
  <c r="W62" i="52"/>
  <c r="W63" i="52"/>
  <c r="W64" i="52"/>
  <c r="W65" i="52"/>
  <c r="W66" i="52"/>
  <c r="W67" i="52"/>
  <c r="W68" i="52"/>
  <c r="W69" i="52"/>
  <c r="W70" i="52"/>
  <c r="W71" i="52"/>
  <c r="W72" i="52"/>
  <c r="W73" i="52"/>
  <c r="W74" i="52"/>
  <c r="W75" i="52"/>
  <c r="W80" i="52"/>
  <c r="W82" i="52"/>
  <c r="AB14" i="46" l="1"/>
  <c r="AB70" i="53"/>
  <c r="AC70" i="53" s="1"/>
  <c r="W25" i="52"/>
  <c r="W29" i="52" s="1"/>
  <c r="W76" i="52"/>
  <c r="W41" i="52"/>
  <c r="W78" i="52" l="1"/>
  <c r="W79" i="52" s="1"/>
  <c r="W81" i="52" l="1"/>
  <c r="W83" i="52" s="1"/>
  <c r="F30" i="27"/>
  <c r="B39" i="49"/>
  <c r="AA25" i="59" l="1"/>
  <c r="X24" i="55" l="1"/>
  <c r="Y24" i="55" s="1"/>
  <c r="D45" i="55" l="1"/>
  <c r="D46" i="55"/>
  <c r="D47" i="55"/>
  <c r="D48" i="55"/>
  <c r="D49" i="55"/>
  <c r="D50" i="55"/>
  <c r="D51" i="55"/>
  <c r="E51" i="55" s="1"/>
  <c r="D52" i="55"/>
  <c r="D53" i="55"/>
  <c r="D54" i="55"/>
  <c r="E54" i="55" s="1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44" i="55"/>
  <c r="N34" i="61" l="1"/>
  <c r="N35" i="61"/>
  <c r="N36" i="61"/>
  <c r="N37" i="61"/>
  <c r="N38" i="61"/>
  <c r="N39" i="61"/>
  <c r="N40" i="61"/>
  <c r="N33" i="61"/>
  <c r="I45" i="61"/>
  <c r="I46" i="61"/>
  <c r="I47" i="61"/>
  <c r="I48" i="61"/>
  <c r="I49" i="61"/>
  <c r="I50" i="61"/>
  <c r="I51" i="61"/>
  <c r="I52" i="61"/>
  <c r="I53" i="61"/>
  <c r="I54" i="61"/>
  <c r="I55" i="61"/>
  <c r="I56" i="61"/>
  <c r="I57" i="61"/>
  <c r="I58" i="61"/>
  <c r="I59" i="61"/>
  <c r="I60" i="61"/>
  <c r="I61" i="61"/>
  <c r="I62" i="61"/>
  <c r="I63" i="61"/>
  <c r="I64" i="61"/>
  <c r="I65" i="61"/>
  <c r="I66" i="61"/>
  <c r="I67" i="61"/>
  <c r="I68" i="61"/>
  <c r="I69" i="61"/>
  <c r="I70" i="61"/>
  <c r="I71" i="61"/>
  <c r="I72" i="61"/>
  <c r="I73" i="61"/>
  <c r="I74" i="61"/>
  <c r="I75" i="61"/>
  <c r="I34" i="61"/>
  <c r="I35" i="61"/>
  <c r="I36" i="61"/>
  <c r="I37" i="61"/>
  <c r="I38" i="61"/>
  <c r="I39" i="61"/>
  <c r="I40" i="61"/>
  <c r="I33" i="61"/>
  <c r="N45" i="45"/>
  <c r="N46" i="45"/>
  <c r="N47" i="45"/>
  <c r="N48" i="45"/>
  <c r="N49" i="45"/>
  <c r="N50" i="45"/>
  <c r="N51" i="45"/>
  <c r="N52" i="45"/>
  <c r="N53" i="45"/>
  <c r="N54" i="45"/>
  <c r="N55" i="45"/>
  <c r="N56" i="45"/>
  <c r="N57" i="45"/>
  <c r="N58" i="45"/>
  <c r="N59" i="45"/>
  <c r="N60" i="45"/>
  <c r="N61" i="45"/>
  <c r="N62" i="45"/>
  <c r="N63" i="45"/>
  <c r="N64" i="45"/>
  <c r="N65" i="45"/>
  <c r="N66" i="45"/>
  <c r="N67" i="45"/>
  <c r="N68" i="45"/>
  <c r="N69" i="45"/>
  <c r="N70" i="45"/>
  <c r="N71" i="45"/>
  <c r="N72" i="45"/>
  <c r="N73" i="45"/>
  <c r="N74" i="45"/>
  <c r="N75" i="45"/>
  <c r="N34" i="45"/>
  <c r="N35" i="45"/>
  <c r="N36" i="45"/>
  <c r="N37" i="45"/>
  <c r="N38" i="45"/>
  <c r="N39" i="45"/>
  <c r="N40" i="45"/>
  <c r="N15" i="45"/>
  <c r="N16" i="45"/>
  <c r="N17" i="45"/>
  <c r="N18" i="45"/>
  <c r="N19" i="45"/>
  <c r="N20" i="45"/>
  <c r="N21" i="45"/>
  <c r="N22" i="45"/>
  <c r="N23" i="45"/>
  <c r="N24" i="45"/>
  <c r="I45" i="45"/>
  <c r="I46" i="45"/>
  <c r="I47" i="45"/>
  <c r="I48" i="45"/>
  <c r="I49" i="45"/>
  <c r="I50" i="45"/>
  <c r="I51" i="45"/>
  <c r="I52" i="45"/>
  <c r="I53" i="45"/>
  <c r="I54" i="45"/>
  <c r="I55" i="45"/>
  <c r="I56" i="45"/>
  <c r="I57" i="45"/>
  <c r="I58" i="45"/>
  <c r="I59" i="45"/>
  <c r="I60" i="45"/>
  <c r="I61" i="45"/>
  <c r="I62" i="45"/>
  <c r="I63" i="45"/>
  <c r="I64" i="45"/>
  <c r="I65" i="45"/>
  <c r="I66" i="45"/>
  <c r="I67" i="45"/>
  <c r="I68" i="45"/>
  <c r="I69" i="45"/>
  <c r="I70" i="45"/>
  <c r="I71" i="45"/>
  <c r="I72" i="45"/>
  <c r="I73" i="45"/>
  <c r="I74" i="45"/>
  <c r="I75" i="45"/>
  <c r="I34" i="45"/>
  <c r="I35" i="45"/>
  <c r="I36" i="45"/>
  <c r="J36" i="45" s="1"/>
  <c r="I37" i="45"/>
  <c r="I38" i="45"/>
  <c r="I39" i="45"/>
  <c r="I40" i="45"/>
  <c r="I15" i="45"/>
  <c r="I16" i="45"/>
  <c r="I17" i="45"/>
  <c r="I18" i="45"/>
  <c r="I19" i="45"/>
  <c r="I20" i="45"/>
  <c r="I21" i="45"/>
  <c r="I22" i="45"/>
  <c r="I23" i="45"/>
  <c r="I24" i="45"/>
  <c r="I1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D60" i="45"/>
  <c r="D61" i="45"/>
  <c r="D62" i="45"/>
  <c r="D63" i="45"/>
  <c r="D64" i="45"/>
  <c r="D65" i="45"/>
  <c r="D66" i="45"/>
  <c r="D67" i="45"/>
  <c r="D68" i="45"/>
  <c r="D69" i="45"/>
  <c r="D70" i="45"/>
  <c r="D71" i="45"/>
  <c r="D72" i="45"/>
  <c r="D73" i="45"/>
  <c r="D74" i="45"/>
  <c r="D75" i="45"/>
  <c r="D34" i="45"/>
  <c r="D35" i="45"/>
  <c r="D36" i="45"/>
  <c r="D37" i="45"/>
  <c r="D38" i="45"/>
  <c r="D39" i="45"/>
  <c r="D40" i="45"/>
  <c r="D15" i="45"/>
  <c r="D16" i="45"/>
  <c r="D17" i="45"/>
  <c r="D18" i="45"/>
  <c r="D19" i="45"/>
  <c r="D20" i="45"/>
  <c r="D21" i="45"/>
  <c r="D22" i="45"/>
  <c r="D23" i="45"/>
  <c r="D24" i="45"/>
  <c r="D45" i="61"/>
  <c r="D46" i="61"/>
  <c r="D47" i="61"/>
  <c r="D48" i="61"/>
  <c r="D49" i="61"/>
  <c r="D50" i="61"/>
  <c r="D51" i="61"/>
  <c r="D52" i="61"/>
  <c r="D53" i="61"/>
  <c r="D54" i="61"/>
  <c r="D55" i="61"/>
  <c r="D56" i="61"/>
  <c r="D57" i="61"/>
  <c r="D58" i="61"/>
  <c r="D59" i="61"/>
  <c r="D60" i="61"/>
  <c r="D62" i="61"/>
  <c r="D63" i="61"/>
  <c r="D64" i="61"/>
  <c r="D65" i="61"/>
  <c r="D66" i="61"/>
  <c r="D68" i="61"/>
  <c r="D69" i="61"/>
  <c r="D70" i="61"/>
  <c r="D71" i="61"/>
  <c r="D72" i="61"/>
  <c r="D73" i="61"/>
  <c r="D74" i="61"/>
  <c r="D75" i="61"/>
  <c r="D34" i="61"/>
  <c r="D35" i="61"/>
  <c r="D36" i="61"/>
  <c r="D37" i="61"/>
  <c r="D38" i="61"/>
  <c r="D39" i="61"/>
  <c r="D40" i="61"/>
  <c r="D15" i="61"/>
  <c r="D16" i="61"/>
  <c r="D17" i="61"/>
  <c r="D18" i="61"/>
  <c r="D19" i="61"/>
  <c r="D20" i="61"/>
  <c r="D21" i="61"/>
  <c r="D22" i="61"/>
  <c r="D23" i="61"/>
  <c r="D24" i="61"/>
  <c r="I23" i="65" l="1"/>
  <c r="D23" i="65"/>
  <c r="AB48" i="53" l="1"/>
  <c r="AC48" i="53" s="1"/>
  <c r="AB52" i="53"/>
  <c r="AB55" i="53"/>
  <c r="AC55" i="53" s="1"/>
  <c r="AB65" i="53"/>
  <c r="AC65" i="53" s="1"/>
  <c r="AB67" i="53"/>
  <c r="AC67" i="53" s="1"/>
  <c r="AB72" i="53"/>
  <c r="AC72" i="53" s="1"/>
  <c r="AB74" i="53"/>
  <c r="AC74" i="53" s="1"/>
  <c r="AB44" i="53"/>
  <c r="AC44" i="53" s="1"/>
  <c r="AB45" i="53" l="1"/>
  <c r="AC45" i="53" s="1"/>
  <c r="AB46" i="53"/>
  <c r="AC46" i="53" s="1"/>
  <c r="AB57" i="53"/>
  <c r="AC57" i="53" s="1"/>
  <c r="AB75" i="53"/>
  <c r="AC75" i="53" s="1"/>
  <c r="AB66" i="53"/>
  <c r="AC66" i="53" s="1"/>
  <c r="AB73" i="53"/>
  <c r="AC73" i="53" s="1"/>
  <c r="AB64" i="53"/>
  <c r="AC64" i="53" s="1"/>
  <c r="AB62" i="53"/>
  <c r="AC62" i="53" s="1"/>
  <c r="AB68" i="53"/>
  <c r="AC68" i="53" s="1"/>
  <c r="AB47" i="53"/>
  <c r="AC47" i="53" s="1"/>
  <c r="AB63" i="53"/>
  <c r="AC63" i="53" s="1"/>
  <c r="AB51" i="53"/>
  <c r="AC51" i="53" s="1"/>
  <c r="AB53" i="53"/>
  <c r="AC53" i="53" s="1"/>
  <c r="AB71" i="53"/>
  <c r="AC71" i="53" s="1"/>
  <c r="AB60" i="53"/>
  <c r="AC60" i="53" s="1"/>
  <c r="AB50" i="53"/>
  <c r="AC50" i="53" s="1"/>
  <c r="AB56" i="53"/>
  <c r="AC56" i="53" s="1"/>
  <c r="AB58" i="53"/>
  <c r="AC58" i="53" s="1"/>
  <c r="AB54" i="53"/>
  <c r="AC54" i="53" s="1"/>
  <c r="AB69" i="53"/>
  <c r="AC69" i="53" s="1"/>
  <c r="AB59" i="53"/>
  <c r="AC59" i="53" s="1"/>
  <c r="AB49" i="53"/>
  <c r="AC49" i="53" s="1"/>
  <c r="AB61" i="53"/>
  <c r="AC61" i="53" s="1"/>
  <c r="AC52" i="53"/>
  <c r="W34" i="53"/>
  <c r="W35" i="53"/>
  <c r="AB35" i="53" s="1"/>
  <c r="AC35" i="53" s="1"/>
  <c r="W36" i="53"/>
  <c r="AB36" i="53" s="1"/>
  <c r="AC36" i="53" s="1"/>
  <c r="W37" i="53"/>
  <c r="AB37" i="53" s="1"/>
  <c r="AC37" i="53" s="1"/>
  <c r="W38" i="53"/>
  <c r="AB38" i="53" s="1"/>
  <c r="AC38" i="53" s="1"/>
  <c r="W39" i="53"/>
  <c r="W33" i="58"/>
  <c r="N18" i="53"/>
  <c r="AB76" i="53" l="1"/>
  <c r="AC76" i="53" s="1"/>
  <c r="AB40" i="53"/>
  <c r="AC40" i="53" s="1"/>
  <c r="AB39" i="53"/>
  <c r="AC39" i="53" s="1"/>
  <c r="AC34" i="53"/>
  <c r="S15" i="59"/>
  <c r="T15" i="59" s="1"/>
  <c r="S16" i="59"/>
  <c r="S17" i="59"/>
  <c r="S18" i="59"/>
  <c r="S19" i="59"/>
  <c r="S20" i="59"/>
  <c r="S21" i="59"/>
  <c r="S22" i="59"/>
  <c r="S23" i="59"/>
  <c r="S24" i="59"/>
  <c r="S14" i="59"/>
  <c r="T14" i="59" s="1"/>
  <c r="J14" i="59"/>
  <c r="AB41" i="53" l="1"/>
  <c r="AC41" i="53" s="1"/>
  <c r="AC55" i="48"/>
  <c r="AB78" i="53" l="1"/>
  <c r="AC78" i="53" s="1"/>
  <c r="AA25" i="48"/>
  <c r="V22" i="48"/>
  <c r="W24" i="48"/>
  <c r="AB24" i="48" s="1"/>
  <c r="AC24" i="48" s="1"/>
  <c r="V24" i="48"/>
  <c r="W23" i="48"/>
  <c r="AB23" i="48" s="1"/>
  <c r="AC23" i="48" s="1"/>
  <c r="V23" i="48"/>
  <c r="W22" i="48"/>
  <c r="AB22" i="48" s="1"/>
  <c r="AC22" i="48" s="1"/>
  <c r="W21" i="48"/>
  <c r="AB21" i="48" s="1"/>
  <c r="AC21" i="48" s="1"/>
  <c r="V21" i="48"/>
  <c r="W20" i="48"/>
  <c r="AB20" i="48" s="1"/>
  <c r="AC20" i="48" s="1"/>
  <c r="V20" i="48"/>
  <c r="W18" i="48"/>
  <c r="AC18" i="48" s="1"/>
  <c r="V18" i="48"/>
  <c r="W17" i="48"/>
  <c r="AB17" i="48" s="1"/>
  <c r="AC17" i="48" s="1"/>
  <c r="V17" i="48"/>
  <c r="W16" i="48"/>
  <c r="AB16" i="48" s="1"/>
  <c r="AC16" i="48" s="1"/>
  <c r="V16" i="48"/>
  <c r="W15" i="48"/>
  <c r="AB15" i="48" s="1"/>
  <c r="V15" i="48"/>
  <c r="W14" i="48"/>
  <c r="V14" i="48"/>
  <c r="S15" i="48"/>
  <c r="T15" i="48" s="1"/>
  <c r="S16" i="48"/>
  <c r="T16" i="48" s="1"/>
  <c r="S17" i="48"/>
  <c r="T17" i="48" s="1"/>
  <c r="S18" i="48"/>
  <c r="T18" i="48" s="1"/>
  <c r="S19" i="48"/>
  <c r="T19" i="48" s="1"/>
  <c r="S20" i="48"/>
  <c r="T20" i="48" s="1"/>
  <c r="S21" i="48"/>
  <c r="T21" i="48" s="1"/>
  <c r="S22" i="48"/>
  <c r="T22" i="48" s="1"/>
  <c r="S23" i="48"/>
  <c r="T23" i="48" s="1"/>
  <c r="S24" i="48"/>
  <c r="T24" i="48" s="1"/>
  <c r="N15" i="48"/>
  <c r="N16" i="48"/>
  <c r="O16" i="48" s="1"/>
  <c r="N17" i="48"/>
  <c r="O17" i="48" s="1"/>
  <c r="N18" i="48"/>
  <c r="O18" i="48" s="1"/>
  <c r="N19" i="48"/>
  <c r="O19" i="48" s="1"/>
  <c r="N20" i="48"/>
  <c r="O20" i="48" s="1"/>
  <c r="N21" i="48"/>
  <c r="O21" i="48" s="1"/>
  <c r="N22" i="48"/>
  <c r="O22" i="48" s="1"/>
  <c r="N23" i="48"/>
  <c r="O23" i="48" s="1"/>
  <c r="N24" i="48"/>
  <c r="O24" i="48" s="1"/>
  <c r="D24" i="48"/>
  <c r="E24" i="48" s="1"/>
  <c r="I24" i="48"/>
  <c r="J24" i="48" s="1"/>
  <c r="X15" i="48" l="1"/>
  <c r="X16" i="48"/>
  <c r="Y16" i="48" s="1"/>
  <c r="X24" i="48"/>
  <c r="Y24" i="48" s="1"/>
  <c r="X23" i="48"/>
  <c r="Y23" i="48" s="1"/>
  <c r="X22" i="48"/>
  <c r="Y22" i="48" s="1"/>
  <c r="X21" i="48"/>
  <c r="Y21" i="48" s="1"/>
  <c r="X20" i="48"/>
  <c r="Y20" i="48" s="1"/>
  <c r="X18" i="48"/>
  <c r="Y18" i="48" s="1"/>
  <c r="X17" i="48"/>
  <c r="Y17" i="48" s="1"/>
  <c r="AB51" i="52" l="1"/>
  <c r="AC51" i="52" s="1"/>
  <c r="X15" i="52"/>
  <c r="X16" i="52"/>
  <c r="X17" i="52"/>
  <c r="X18" i="52"/>
  <c r="X20" i="52"/>
  <c r="X21" i="52"/>
  <c r="X22" i="52"/>
  <c r="X23" i="52"/>
  <c r="X24" i="52"/>
  <c r="D44" i="52"/>
  <c r="D49" i="52"/>
  <c r="N41" i="61" l="1"/>
  <c r="V46" i="45" l="1"/>
  <c r="V75" i="45"/>
  <c r="V74" i="45"/>
  <c r="V73" i="45"/>
  <c r="V72" i="45"/>
  <c r="V71" i="45"/>
  <c r="V70" i="45"/>
  <c r="V69" i="45"/>
  <c r="V68" i="45"/>
  <c r="V67" i="45"/>
  <c r="V66" i="45"/>
  <c r="V65" i="45"/>
  <c r="V64" i="45"/>
  <c r="V63" i="45"/>
  <c r="V62" i="45"/>
  <c r="V61" i="45"/>
  <c r="V60" i="45"/>
  <c r="V59" i="45"/>
  <c r="V58" i="45"/>
  <c r="V57" i="45"/>
  <c r="V56" i="45"/>
  <c r="V55" i="45"/>
  <c r="V54" i="45"/>
  <c r="V53" i="45"/>
  <c r="V52" i="45"/>
  <c r="V51" i="45"/>
  <c r="V50" i="45"/>
  <c r="V49" i="45"/>
  <c r="V48" i="45"/>
  <c r="V47" i="45"/>
  <c r="V45" i="45"/>
  <c r="V44" i="45"/>
  <c r="AA76" i="61" l="1"/>
  <c r="W45" i="55" l="1"/>
  <c r="W44" i="55"/>
  <c r="V45" i="55"/>
  <c r="V44" i="55"/>
  <c r="V14" i="55"/>
  <c r="X44" i="55" l="1"/>
  <c r="X45" i="55"/>
  <c r="AB45" i="55"/>
  <c r="N45" i="55"/>
  <c r="O45" i="55" s="1"/>
  <c r="N46" i="55"/>
  <c r="O46" i="55" s="1"/>
  <c r="N47" i="55"/>
  <c r="O47" i="55" s="1"/>
  <c r="N48" i="55"/>
  <c r="O48" i="55" s="1"/>
  <c r="N49" i="55"/>
  <c r="O49" i="55" s="1"/>
  <c r="N50" i="55"/>
  <c r="O50" i="55" s="1"/>
  <c r="N51" i="55"/>
  <c r="O51" i="55" s="1"/>
  <c r="N52" i="55"/>
  <c r="O52" i="55" s="1"/>
  <c r="N53" i="55"/>
  <c r="O53" i="55" s="1"/>
  <c r="N54" i="55"/>
  <c r="O54" i="55" s="1"/>
  <c r="N55" i="55"/>
  <c r="O55" i="55" s="1"/>
  <c r="N56" i="55"/>
  <c r="O56" i="55" s="1"/>
  <c r="N57" i="55"/>
  <c r="O57" i="55" s="1"/>
  <c r="N58" i="55"/>
  <c r="O58" i="55" s="1"/>
  <c r="N59" i="55"/>
  <c r="O59" i="55" s="1"/>
  <c r="N60" i="55"/>
  <c r="O60" i="55" s="1"/>
  <c r="N61" i="55"/>
  <c r="O61" i="55" s="1"/>
  <c r="N62" i="55"/>
  <c r="O62" i="55" s="1"/>
  <c r="N63" i="55"/>
  <c r="O63" i="55" s="1"/>
  <c r="N64" i="55"/>
  <c r="O64" i="55" s="1"/>
  <c r="N65" i="55"/>
  <c r="O65" i="55" s="1"/>
  <c r="N66" i="55"/>
  <c r="O66" i="55" s="1"/>
  <c r="N67" i="55"/>
  <c r="O67" i="55" s="1"/>
  <c r="N68" i="55"/>
  <c r="O68" i="55" s="1"/>
  <c r="N69" i="55"/>
  <c r="O69" i="55" s="1"/>
  <c r="N70" i="55"/>
  <c r="O70" i="55" s="1"/>
  <c r="N71" i="55"/>
  <c r="O71" i="55" s="1"/>
  <c r="N72" i="55"/>
  <c r="O72" i="55" s="1"/>
  <c r="N73" i="55"/>
  <c r="O73" i="55" s="1"/>
  <c r="N74" i="55"/>
  <c r="O74" i="55" s="1"/>
  <c r="N75" i="55"/>
  <c r="O75" i="55" s="1"/>
  <c r="I45" i="55"/>
  <c r="J45" i="55" s="1"/>
  <c r="I46" i="55"/>
  <c r="J46" i="55" s="1"/>
  <c r="I47" i="55"/>
  <c r="J47" i="55" s="1"/>
  <c r="I48" i="55"/>
  <c r="J48" i="55" s="1"/>
  <c r="I49" i="55"/>
  <c r="J49" i="55" s="1"/>
  <c r="I50" i="55"/>
  <c r="J50" i="55" s="1"/>
  <c r="I51" i="55"/>
  <c r="J51" i="55" s="1"/>
  <c r="I52" i="55"/>
  <c r="J52" i="55" s="1"/>
  <c r="I53" i="55"/>
  <c r="J53" i="55" s="1"/>
  <c r="I54" i="55"/>
  <c r="J54" i="55" s="1"/>
  <c r="I55" i="55"/>
  <c r="J55" i="55" s="1"/>
  <c r="I56" i="55"/>
  <c r="J56" i="55" s="1"/>
  <c r="I57" i="55"/>
  <c r="J57" i="55" s="1"/>
  <c r="I58" i="55"/>
  <c r="J58" i="55" s="1"/>
  <c r="I59" i="55"/>
  <c r="J59" i="55" s="1"/>
  <c r="I60" i="55"/>
  <c r="J60" i="55" s="1"/>
  <c r="I61" i="55"/>
  <c r="J61" i="55" s="1"/>
  <c r="I62" i="55"/>
  <c r="J62" i="55" s="1"/>
  <c r="I63" i="55"/>
  <c r="J63" i="55" s="1"/>
  <c r="I64" i="55"/>
  <c r="J64" i="55" s="1"/>
  <c r="I65" i="55"/>
  <c r="J65" i="55" s="1"/>
  <c r="I66" i="55"/>
  <c r="J66" i="55" s="1"/>
  <c r="I67" i="55"/>
  <c r="J67" i="55" s="1"/>
  <c r="I68" i="55"/>
  <c r="J68" i="55" s="1"/>
  <c r="I69" i="55"/>
  <c r="J69" i="55" s="1"/>
  <c r="I70" i="55"/>
  <c r="J70" i="55" s="1"/>
  <c r="I71" i="55"/>
  <c r="J71" i="55" s="1"/>
  <c r="I72" i="55"/>
  <c r="J72" i="55" s="1"/>
  <c r="J73" i="55"/>
  <c r="J74" i="55"/>
  <c r="I75" i="55"/>
  <c r="J75" i="55" s="1"/>
  <c r="I24" i="55"/>
  <c r="J24" i="55" s="1"/>
  <c r="D15" i="55"/>
  <c r="D16" i="55"/>
  <c r="D17" i="55"/>
  <c r="D18" i="55"/>
  <c r="D19" i="55"/>
  <c r="D20" i="55"/>
  <c r="D21" i="55"/>
  <c r="D22" i="55"/>
  <c r="D23" i="55"/>
  <c r="D24" i="55"/>
  <c r="E24" i="55" s="1"/>
  <c r="D14" i="55"/>
  <c r="AB24" i="55" l="1"/>
  <c r="AC24" i="55" s="1"/>
  <c r="V58" i="53" l="1"/>
  <c r="V48" i="53"/>
  <c r="V14" i="53"/>
  <c r="X14" i="53" s="1"/>
  <c r="W24" i="53"/>
  <c r="AB24" i="53" s="1"/>
  <c r="AC24" i="53" s="1"/>
  <c r="W23" i="53"/>
  <c r="AB23" i="53" s="1"/>
  <c r="AC23" i="53" s="1"/>
  <c r="W22" i="53"/>
  <c r="AB22" i="53" s="1"/>
  <c r="AC22" i="53" s="1"/>
  <c r="W21" i="53"/>
  <c r="AB21" i="53" s="1"/>
  <c r="AC21" i="53" s="1"/>
  <c r="W20" i="53"/>
  <c r="AB20" i="53" s="1"/>
  <c r="AC20" i="53" s="1"/>
  <c r="W19" i="53"/>
  <c r="AB19" i="53" s="1"/>
  <c r="AC19" i="53" s="1"/>
  <c r="W16" i="53"/>
  <c r="AB16" i="53" s="1"/>
  <c r="AC16" i="53" s="1"/>
  <c r="W15" i="53"/>
  <c r="AB15" i="53" s="1"/>
  <c r="V17" i="53"/>
  <c r="V16" i="53"/>
  <c r="V15" i="53"/>
  <c r="V19" i="53"/>
  <c r="V20" i="53"/>
  <c r="V21" i="53"/>
  <c r="V22" i="53"/>
  <c r="V23" i="53"/>
  <c r="V24" i="53"/>
  <c r="W17" i="53"/>
  <c r="AB17" i="53" s="1"/>
  <c r="AC17" i="53" s="1"/>
  <c r="S19" i="53"/>
  <c r="AC15" i="53" l="1"/>
  <c r="AB25" i="53"/>
  <c r="R25" i="53"/>
  <c r="R24" i="46" s="1"/>
  <c r="M25" i="53"/>
  <c r="M24" i="46" s="1"/>
  <c r="L25" i="53"/>
  <c r="L24" i="46" s="1"/>
  <c r="L25" i="46" s="1"/>
  <c r="H25" i="53"/>
  <c r="H24" i="46" s="1"/>
  <c r="G25" i="53"/>
  <c r="G24" i="46" s="1"/>
  <c r="I15" i="53"/>
  <c r="I14" i="53"/>
  <c r="J14" i="53" s="1"/>
  <c r="D15" i="53"/>
  <c r="D16" i="53"/>
  <c r="D17" i="53"/>
  <c r="D18" i="53"/>
  <c r="D19" i="53"/>
  <c r="D20" i="53"/>
  <c r="D21" i="53"/>
  <c r="D22" i="53"/>
  <c r="D23" i="53"/>
  <c r="D24" i="53"/>
  <c r="N14" i="53"/>
  <c r="O14" i="53" s="1"/>
  <c r="S14" i="53"/>
  <c r="T14" i="53" s="1"/>
  <c r="S15" i="53"/>
  <c r="N24" i="46" l="1"/>
  <c r="M25" i="46"/>
  <c r="L29" i="46"/>
  <c r="L79" i="46"/>
  <c r="L81" i="46" s="1"/>
  <c r="L83" i="46" s="1"/>
  <c r="S24" i="46"/>
  <c r="R25" i="46"/>
  <c r="AC25" i="53"/>
  <c r="AB79" i="53"/>
  <c r="AB81" i="53" s="1"/>
  <c r="D25" i="53"/>
  <c r="Y14" i="53"/>
  <c r="M29" i="46" l="1"/>
  <c r="M79" i="46"/>
  <c r="M81" i="46" s="1"/>
  <c r="M83" i="46" s="1"/>
  <c r="N83" i="46" s="1"/>
  <c r="O83" i="46" s="1"/>
  <c r="R29" i="46"/>
  <c r="R79" i="46"/>
  <c r="R81" i="46" s="1"/>
  <c r="R83" i="46" s="1"/>
  <c r="S83" i="46" s="1"/>
  <c r="T83" i="46" s="1"/>
  <c r="T24" i="46"/>
  <c r="S25" i="46"/>
  <c r="O24" i="46"/>
  <c r="N25" i="46"/>
  <c r="D19" i="46"/>
  <c r="E19" i="46" s="1"/>
  <c r="V44" i="52"/>
  <c r="X44" i="52" s="1"/>
  <c r="S29" i="46" l="1"/>
  <c r="T29" i="46" s="1"/>
  <c r="T25" i="46"/>
  <c r="S79" i="46"/>
  <c r="S81" i="46" s="1"/>
  <c r="O25" i="46"/>
  <c r="N29" i="46"/>
  <c r="O29" i="46" s="1"/>
  <c r="N79" i="46"/>
  <c r="N81" i="46" s="1"/>
  <c r="V19" i="46"/>
  <c r="V20" i="46"/>
  <c r="I21" i="46"/>
  <c r="I23" i="46"/>
  <c r="I15" i="46"/>
  <c r="W20" i="46"/>
  <c r="I20" i="46"/>
  <c r="I19" i="46"/>
  <c r="I16" i="46"/>
  <c r="I18" i="46"/>
  <c r="I17" i="46"/>
  <c r="I22" i="46"/>
  <c r="V21" i="46"/>
  <c r="D20" i="46"/>
  <c r="E20" i="46" s="1"/>
  <c r="W19" i="46"/>
  <c r="I24" i="46"/>
  <c r="X20" i="46" l="1"/>
  <c r="Y20" i="46" s="1"/>
  <c r="X19" i="46"/>
  <c r="Y19" i="46" s="1"/>
  <c r="W45" i="65" l="1"/>
  <c r="W46" i="65"/>
  <c r="W47" i="65"/>
  <c r="AB47" i="65" s="1"/>
  <c r="AC47" i="65" s="1"/>
  <c r="W48" i="65"/>
  <c r="AB48" i="65" s="1"/>
  <c r="AC48" i="65" s="1"/>
  <c r="W49" i="65"/>
  <c r="AB49" i="65" s="1"/>
  <c r="AC49" i="65" s="1"/>
  <c r="W50" i="65"/>
  <c r="AB50" i="65" s="1"/>
  <c r="AC50" i="65" s="1"/>
  <c r="W51" i="65"/>
  <c r="W52" i="65"/>
  <c r="W53" i="65"/>
  <c r="W54" i="65"/>
  <c r="W55" i="65"/>
  <c r="AB55" i="65" s="1"/>
  <c r="AC55" i="65" s="1"/>
  <c r="W56" i="65"/>
  <c r="AB56" i="65" s="1"/>
  <c r="AC56" i="65" s="1"/>
  <c r="W57" i="65"/>
  <c r="AB57" i="65" s="1"/>
  <c r="AC57" i="65" s="1"/>
  <c r="W58" i="65"/>
  <c r="AB58" i="65" s="1"/>
  <c r="AC58" i="65" s="1"/>
  <c r="W59" i="65"/>
  <c r="AB59" i="65" s="1"/>
  <c r="AC59" i="65" s="1"/>
  <c r="W60" i="65"/>
  <c r="W61" i="65"/>
  <c r="W62" i="65"/>
  <c r="W63" i="65"/>
  <c r="AB63" i="65" s="1"/>
  <c r="AC63" i="65" s="1"/>
  <c r="W64" i="65"/>
  <c r="AB64" i="65" s="1"/>
  <c r="AC64" i="65" s="1"/>
  <c r="W65" i="65"/>
  <c r="AB65" i="65" s="1"/>
  <c r="AC65" i="65" s="1"/>
  <c r="W66" i="65"/>
  <c r="AB66" i="65" s="1"/>
  <c r="AC66" i="65" s="1"/>
  <c r="W67" i="65"/>
  <c r="W68" i="65"/>
  <c r="W69" i="65"/>
  <c r="W70" i="65"/>
  <c r="W71" i="65"/>
  <c r="AB71" i="65" s="1"/>
  <c r="AC71" i="65" s="1"/>
  <c r="W72" i="65"/>
  <c r="AB72" i="65" s="1"/>
  <c r="AC72" i="65" s="1"/>
  <c r="W73" i="65"/>
  <c r="AB73" i="65" s="1"/>
  <c r="AC73" i="65" s="1"/>
  <c r="W74" i="65"/>
  <c r="AB74" i="65" s="1"/>
  <c r="AC74" i="65" s="1"/>
  <c r="W75" i="65"/>
  <c r="W44" i="65"/>
  <c r="V45" i="65"/>
  <c r="V46" i="65"/>
  <c r="V47" i="65"/>
  <c r="V48" i="65"/>
  <c r="V49" i="65"/>
  <c r="V50" i="65"/>
  <c r="V51" i="65"/>
  <c r="V52" i="65"/>
  <c r="V53" i="65"/>
  <c r="V54" i="65"/>
  <c r="V55" i="65"/>
  <c r="V56" i="65"/>
  <c r="V57" i="65"/>
  <c r="V58" i="65"/>
  <c r="V59" i="65"/>
  <c r="V60" i="65"/>
  <c r="V61" i="65"/>
  <c r="V62" i="65"/>
  <c r="V63" i="65"/>
  <c r="V64" i="65"/>
  <c r="V65" i="65"/>
  <c r="V66" i="65"/>
  <c r="V67" i="65"/>
  <c r="V68" i="65"/>
  <c r="V69" i="65"/>
  <c r="V70" i="65"/>
  <c r="V71" i="65"/>
  <c r="V72" i="65"/>
  <c r="V73" i="65"/>
  <c r="V74" i="65"/>
  <c r="V75" i="65"/>
  <c r="V44" i="65"/>
  <c r="V33" i="65"/>
  <c r="W34" i="65"/>
  <c r="AB34" i="65" s="1"/>
  <c r="AC34" i="65" s="1"/>
  <c r="W35" i="65"/>
  <c r="AB35" i="65" s="1"/>
  <c r="AC35" i="65" s="1"/>
  <c r="W36" i="65"/>
  <c r="AB36" i="65" s="1"/>
  <c r="AC36" i="65" s="1"/>
  <c r="W37" i="65"/>
  <c r="AB37" i="65" s="1"/>
  <c r="AC37" i="65" s="1"/>
  <c r="W38" i="65"/>
  <c r="AB38" i="65" s="1"/>
  <c r="AC38" i="65" s="1"/>
  <c r="W39" i="65"/>
  <c r="AB39" i="65" s="1"/>
  <c r="AC39" i="65" s="1"/>
  <c r="W40" i="65"/>
  <c r="AB40" i="65" s="1"/>
  <c r="AC40" i="65" s="1"/>
  <c r="V34" i="65"/>
  <c r="V35" i="65"/>
  <c r="V36" i="65"/>
  <c r="V37" i="65"/>
  <c r="V38" i="65"/>
  <c r="V39" i="65"/>
  <c r="V40" i="65"/>
  <c r="W33" i="65"/>
  <c r="AB33" i="65" s="1"/>
  <c r="AC33" i="65" s="1"/>
  <c r="W15" i="65"/>
  <c r="W16" i="65"/>
  <c r="AB16" i="65" s="1"/>
  <c r="AC16" i="65" s="1"/>
  <c r="W17" i="65"/>
  <c r="W18" i="65"/>
  <c r="W19" i="65"/>
  <c r="W20" i="65"/>
  <c r="W21" i="65"/>
  <c r="W22" i="65"/>
  <c r="W23" i="65"/>
  <c r="AB23" i="65" s="1"/>
  <c r="AC23" i="65" s="1"/>
  <c r="W24" i="65"/>
  <c r="AB24" i="65" s="1"/>
  <c r="AC24" i="65" s="1"/>
  <c r="W14" i="65"/>
  <c r="AB14" i="65" s="1"/>
  <c r="AC14" i="65" s="1"/>
  <c r="V15" i="65"/>
  <c r="V17" i="65"/>
  <c r="V18" i="65"/>
  <c r="V19" i="65"/>
  <c r="V25" i="65" s="1"/>
  <c r="V20" i="65"/>
  <c r="V21" i="65"/>
  <c r="V22" i="65"/>
  <c r="V23" i="65"/>
  <c r="V24" i="65"/>
  <c r="C29" i="53"/>
  <c r="B29" i="53"/>
  <c r="S15" i="65"/>
  <c r="S16" i="65"/>
  <c r="S17" i="65"/>
  <c r="S18" i="65"/>
  <c r="S19" i="65"/>
  <c r="S20" i="65"/>
  <c r="S21" i="65"/>
  <c r="S22" i="65"/>
  <c r="S23" i="65"/>
  <c r="S24" i="65"/>
  <c r="Q25" i="65"/>
  <c r="Q29" i="65" s="1"/>
  <c r="J23" i="65"/>
  <c r="C25" i="65"/>
  <c r="C29" i="65" s="1"/>
  <c r="F25" i="65"/>
  <c r="G25" i="65"/>
  <c r="G29" i="65" s="1"/>
  <c r="H25" i="65"/>
  <c r="K25" i="65"/>
  <c r="L25" i="65"/>
  <c r="L29" i="65" s="1"/>
  <c r="M25" i="65"/>
  <c r="M29" i="65" s="1"/>
  <c r="P25" i="65"/>
  <c r="R25" i="65"/>
  <c r="R29" i="65" s="1"/>
  <c r="U25" i="65"/>
  <c r="Z25" i="65"/>
  <c r="AA25" i="65"/>
  <c r="AA29" i="65" s="1"/>
  <c r="AD25" i="65"/>
  <c r="B25" i="65"/>
  <c r="B29" i="65" s="1"/>
  <c r="H29" i="65" l="1"/>
  <c r="X59" i="65"/>
  <c r="X58" i="65"/>
  <c r="X14" i="65"/>
  <c r="X70" i="65"/>
  <c r="X62" i="65"/>
  <c r="X54" i="65"/>
  <c r="X46" i="65"/>
  <c r="X69" i="65"/>
  <c r="X61" i="65"/>
  <c r="X53" i="65"/>
  <c r="X45" i="65"/>
  <c r="AB54" i="65"/>
  <c r="AC54" i="65" s="1"/>
  <c r="X44" i="65"/>
  <c r="X68" i="65"/>
  <c r="X60" i="65"/>
  <c r="X52" i="65"/>
  <c r="AB53" i="65"/>
  <c r="AC53" i="65" s="1"/>
  <c r="X75" i="65"/>
  <c r="X67" i="65"/>
  <c r="X51" i="65"/>
  <c r="AB70" i="65"/>
  <c r="AC70" i="65" s="1"/>
  <c r="AB69" i="65"/>
  <c r="AC69" i="65" s="1"/>
  <c r="AB46" i="65"/>
  <c r="AC46" i="65" s="1"/>
  <c r="AB45" i="65"/>
  <c r="AC45" i="65" s="1"/>
  <c r="AB62" i="65"/>
  <c r="AC62" i="65" s="1"/>
  <c r="X71" i="65"/>
  <c r="X63" i="65"/>
  <c r="X55" i="65"/>
  <c r="X47" i="65"/>
  <c r="AB61" i="65"/>
  <c r="AC61" i="65" s="1"/>
  <c r="X23" i="65"/>
  <c r="X74" i="65"/>
  <c r="X66" i="65"/>
  <c r="X50" i="65"/>
  <c r="X73" i="65"/>
  <c r="X65" i="65"/>
  <c r="X57" i="65"/>
  <c r="X49" i="65"/>
  <c r="X72" i="65"/>
  <c r="X64" i="65"/>
  <c r="X56" i="65"/>
  <c r="X48" i="65"/>
  <c r="AB44" i="65"/>
  <c r="AC44" i="65" s="1"/>
  <c r="AB68" i="65"/>
  <c r="AC68" i="65" s="1"/>
  <c r="AB60" i="65"/>
  <c r="AC60" i="65" s="1"/>
  <c r="AB52" i="65"/>
  <c r="AC52" i="65" s="1"/>
  <c r="AB75" i="65"/>
  <c r="AC75" i="65" s="1"/>
  <c r="AB67" i="65"/>
  <c r="AC67" i="65" s="1"/>
  <c r="AB51" i="65"/>
  <c r="AC51" i="65" s="1"/>
  <c r="AB19" i="46" l="1"/>
  <c r="AC19" i="46" s="1"/>
  <c r="X15" i="53"/>
  <c r="N45" i="53"/>
  <c r="N46" i="53"/>
  <c r="N47" i="53"/>
  <c r="N48" i="53"/>
  <c r="N49" i="53"/>
  <c r="N50" i="53"/>
  <c r="N51" i="53"/>
  <c r="N52" i="53"/>
  <c r="N53" i="53"/>
  <c r="N54" i="53"/>
  <c r="N55" i="53"/>
  <c r="N56" i="53"/>
  <c r="N57" i="53"/>
  <c r="N58" i="53"/>
  <c r="N59" i="53"/>
  <c r="N60" i="53"/>
  <c r="N61" i="53"/>
  <c r="N62" i="53"/>
  <c r="N63" i="53"/>
  <c r="N64" i="53"/>
  <c r="N65" i="53"/>
  <c r="O65" i="53" s="1"/>
  <c r="N66" i="53"/>
  <c r="N67" i="53"/>
  <c r="N68" i="53"/>
  <c r="N69" i="53"/>
  <c r="N70" i="53"/>
  <c r="N71" i="53"/>
  <c r="N72" i="53"/>
  <c r="N73" i="53"/>
  <c r="N74" i="53"/>
  <c r="O74" i="53" s="1"/>
  <c r="N75" i="53"/>
  <c r="N44" i="53"/>
  <c r="N33" i="53"/>
  <c r="N17" i="53"/>
  <c r="AB20" i="46" l="1"/>
  <c r="AC20" i="46" s="1"/>
  <c r="W18" i="58"/>
  <c r="AB18" i="58" s="1"/>
  <c r="AC18" i="58" s="1"/>
  <c r="W15" i="58"/>
  <c r="AB15" i="58" s="1"/>
  <c r="AC15" i="58" s="1"/>
  <c r="W16" i="58"/>
  <c r="W17" i="58"/>
  <c r="W19" i="58"/>
  <c r="W20" i="58"/>
  <c r="W21" i="58"/>
  <c r="W22" i="58"/>
  <c r="W23" i="58"/>
  <c r="W24" i="58"/>
  <c r="V68" i="58"/>
  <c r="V45" i="58"/>
  <c r="V46" i="58"/>
  <c r="V47" i="58"/>
  <c r="V48" i="58"/>
  <c r="V49" i="58"/>
  <c r="V50" i="58"/>
  <c r="V51" i="58"/>
  <c r="V52" i="58"/>
  <c r="V53" i="58"/>
  <c r="V54" i="58"/>
  <c r="V55" i="58"/>
  <c r="V56" i="58"/>
  <c r="V57" i="58"/>
  <c r="V58" i="58"/>
  <c r="V59" i="58"/>
  <c r="V60" i="58"/>
  <c r="V61" i="58"/>
  <c r="V62" i="58"/>
  <c r="V63" i="58"/>
  <c r="V64" i="58"/>
  <c r="V65" i="58"/>
  <c r="V66" i="58"/>
  <c r="V67" i="58"/>
  <c r="V69" i="58"/>
  <c r="V70" i="58"/>
  <c r="V71" i="58"/>
  <c r="V72" i="58"/>
  <c r="V73" i="58"/>
  <c r="V74" i="58"/>
  <c r="V75" i="58"/>
  <c r="V44" i="58"/>
  <c r="V34" i="58"/>
  <c r="V35" i="58"/>
  <c r="V36" i="58"/>
  <c r="V37" i="58"/>
  <c r="V38" i="58"/>
  <c r="V39" i="58"/>
  <c r="V40" i="58"/>
  <c r="V33" i="58"/>
  <c r="V18" i="58"/>
  <c r="V15" i="58"/>
  <c r="V16" i="58"/>
  <c r="V17" i="58"/>
  <c r="V19" i="58"/>
  <c r="V20" i="58"/>
  <c r="V21" i="58"/>
  <c r="V22" i="58"/>
  <c r="V23" i="58"/>
  <c r="V24" i="58"/>
  <c r="V14" i="59"/>
  <c r="W16" i="59" l="1"/>
  <c r="W17" i="55"/>
  <c r="AB14" i="61"/>
  <c r="W66" i="45"/>
  <c r="V35" i="45"/>
  <c r="W45" i="59"/>
  <c r="W46" i="59"/>
  <c r="W47" i="59"/>
  <c r="W48" i="59"/>
  <c r="W49" i="59"/>
  <c r="W50" i="59"/>
  <c r="W51" i="59"/>
  <c r="AB51" i="59" s="1"/>
  <c r="AC51" i="59" s="1"/>
  <c r="W52" i="59"/>
  <c r="W53" i="59"/>
  <c r="W54" i="59"/>
  <c r="W55" i="59"/>
  <c r="W56" i="59"/>
  <c r="W57" i="59"/>
  <c r="W58" i="59"/>
  <c r="W59" i="59"/>
  <c r="W60" i="59"/>
  <c r="W61" i="59"/>
  <c r="W62" i="59"/>
  <c r="W63" i="59"/>
  <c r="W64" i="59"/>
  <c r="W65" i="59"/>
  <c r="W66" i="59"/>
  <c r="W67" i="59"/>
  <c r="W68" i="59"/>
  <c r="W69" i="59"/>
  <c r="W70" i="59"/>
  <c r="W71" i="59"/>
  <c r="W72" i="59"/>
  <c r="W73" i="59"/>
  <c r="W74" i="59"/>
  <c r="W75" i="59"/>
  <c r="W44" i="59"/>
  <c r="V45" i="59"/>
  <c r="V46" i="59"/>
  <c r="V47" i="59"/>
  <c r="V48" i="59"/>
  <c r="V49" i="59"/>
  <c r="V50" i="59"/>
  <c r="V51" i="59"/>
  <c r="V52" i="59"/>
  <c r="V53" i="59"/>
  <c r="V54" i="59"/>
  <c r="V55" i="59"/>
  <c r="V56" i="59"/>
  <c r="V57" i="59"/>
  <c r="V58" i="59"/>
  <c r="V59" i="59"/>
  <c r="V60" i="59"/>
  <c r="V61" i="59"/>
  <c r="V62" i="59"/>
  <c r="V63" i="59"/>
  <c r="V64" i="59"/>
  <c r="V65" i="59"/>
  <c r="V66" i="59"/>
  <c r="V67" i="59"/>
  <c r="V68" i="59"/>
  <c r="V69" i="59"/>
  <c r="V70" i="59"/>
  <c r="V71" i="59"/>
  <c r="V72" i="59"/>
  <c r="V73" i="59"/>
  <c r="V74" i="59"/>
  <c r="V75" i="59"/>
  <c r="V44" i="59"/>
  <c r="S25" i="59"/>
  <c r="W15" i="59"/>
  <c r="W17" i="59"/>
  <c r="W18" i="59"/>
  <c r="AB18" i="59" s="1"/>
  <c r="AC18" i="59" s="1"/>
  <c r="W19" i="59"/>
  <c r="W20" i="59"/>
  <c r="W21" i="59"/>
  <c r="W22" i="59"/>
  <c r="W23" i="59"/>
  <c r="AB23" i="59" s="1"/>
  <c r="AC23" i="59" s="1"/>
  <c r="W24" i="59"/>
  <c r="W14" i="59"/>
  <c r="AB14" i="59" s="1"/>
  <c r="V23" i="59"/>
  <c r="V15" i="59"/>
  <c r="V17" i="59"/>
  <c r="V18" i="59"/>
  <c r="V19" i="59"/>
  <c r="V20" i="59"/>
  <c r="V21" i="59"/>
  <c r="V22" i="59"/>
  <c r="V24" i="59"/>
  <c r="Q25" i="59"/>
  <c r="R25" i="59"/>
  <c r="N24" i="59"/>
  <c r="I24" i="59"/>
  <c r="J24" i="59" s="1"/>
  <c r="H25" i="59"/>
  <c r="G25" i="59"/>
  <c r="C25" i="59"/>
  <c r="B25" i="59"/>
  <c r="D24" i="59"/>
  <c r="E24" i="59" s="1"/>
  <c r="N23" i="59"/>
  <c r="F39" i="60"/>
  <c r="X66" i="45" l="1"/>
  <c r="Y66" i="45" s="1"/>
  <c r="AB66" i="45"/>
  <c r="V76" i="59"/>
  <c r="T25" i="59"/>
  <c r="T24" i="59"/>
  <c r="X15" i="59"/>
  <c r="Y15" i="59" s="1"/>
  <c r="X21" i="59"/>
  <c r="X19" i="59"/>
  <c r="X18" i="59"/>
  <c r="X16" i="59"/>
  <c r="X20" i="59"/>
  <c r="X17" i="59"/>
  <c r="X22" i="59"/>
  <c r="X24" i="59"/>
  <c r="Y24" i="59" s="1"/>
  <c r="X23" i="59"/>
  <c r="V25" i="59"/>
  <c r="W25" i="59"/>
  <c r="AB14" i="52"/>
  <c r="R25" i="55" l="1"/>
  <c r="Q25" i="55"/>
  <c r="M25" i="55"/>
  <c r="L25" i="55"/>
  <c r="H25" i="55"/>
  <c r="G25" i="55"/>
  <c r="H41" i="55"/>
  <c r="B41" i="55"/>
  <c r="C25" i="55"/>
  <c r="B25" i="55"/>
  <c r="T27" i="65"/>
  <c r="W27" i="53" l="1"/>
  <c r="AB27" i="53" s="1"/>
  <c r="AC27" i="53" s="1"/>
  <c r="V74" i="53"/>
  <c r="V45" i="53"/>
  <c r="V46" i="53"/>
  <c r="V47" i="53"/>
  <c r="V49" i="53"/>
  <c r="V50" i="53"/>
  <c r="V51" i="53"/>
  <c r="V52" i="53"/>
  <c r="V53" i="53"/>
  <c r="V54" i="53"/>
  <c r="V55" i="53"/>
  <c r="V56" i="53"/>
  <c r="V57" i="53"/>
  <c r="V59" i="53"/>
  <c r="V60" i="53"/>
  <c r="V61" i="53"/>
  <c r="V62" i="53"/>
  <c r="V63" i="53"/>
  <c r="V64" i="53"/>
  <c r="V65" i="53"/>
  <c r="V66" i="53"/>
  <c r="V68" i="53"/>
  <c r="V69" i="53"/>
  <c r="V70" i="53"/>
  <c r="V71" i="53"/>
  <c r="V72" i="53"/>
  <c r="V73" i="53"/>
  <c r="V75" i="53"/>
  <c r="V44" i="53"/>
  <c r="V76" i="53" s="1"/>
  <c r="V34" i="53"/>
  <c r="V35" i="53"/>
  <c r="V36" i="53"/>
  <c r="V37" i="53"/>
  <c r="V38" i="53"/>
  <c r="V39" i="53"/>
  <c r="V40" i="53"/>
  <c r="V27" i="53"/>
  <c r="W25" i="53" l="1"/>
  <c r="X23" i="53"/>
  <c r="V25" i="53"/>
  <c r="X21" i="53"/>
  <c r="X20" i="53"/>
  <c r="X18" i="53"/>
  <c r="X17" i="53"/>
  <c r="X22" i="53"/>
  <c r="X16" i="53"/>
  <c r="X24" i="53"/>
  <c r="X19" i="53"/>
  <c r="J19" i="58"/>
  <c r="S19" i="52"/>
  <c r="T19" i="52" s="1"/>
  <c r="N19" i="52"/>
  <c r="O19" i="52" s="1"/>
  <c r="I19" i="52"/>
  <c r="J19" i="52" s="1"/>
  <c r="E19" i="52"/>
  <c r="I19" i="55"/>
  <c r="X19" i="52" l="1"/>
  <c r="Y19" i="52" s="1"/>
  <c r="X25" i="53"/>
  <c r="AB19" i="52"/>
  <c r="AC19" i="52" s="1"/>
  <c r="N34" i="48"/>
  <c r="V59" i="61" l="1"/>
  <c r="V60" i="61"/>
  <c r="V61" i="61"/>
  <c r="V62" i="61"/>
  <c r="V63" i="61"/>
  <c r="V64" i="61"/>
  <c r="V65" i="61"/>
  <c r="V66" i="61"/>
  <c r="V67" i="61"/>
  <c r="V68" i="61"/>
  <c r="V69" i="61"/>
  <c r="V70" i="61"/>
  <c r="V71" i="61"/>
  <c r="V72" i="61"/>
  <c r="V73" i="61"/>
  <c r="V74" i="61"/>
  <c r="V75" i="61"/>
  <c r="V58" i="61"/>
  <c r="V49" i="61"/>
  <c r="V45" i="61"/>
  <c r="W34" i="61"/>
  <c r="W33" i="61"/>
  <c r="AB33" i="61" s="1"/>
  <c r="AC33" i="61" s="1"/>
  <c r="V34" i="61"/>
  <c r="V35" i="61"/>
  <c r="V36" i="61"/>
  <c r="V37" i="61"/>
  <c r="V38" i="61"/>
  <c r="V39" i="61"/>
  <c r="V40" i="61"/>
  <c r="V33" i="61"/>
  <c r="V44" i="61"/>
  <c r="S18" i="61"/>
  <c r="S19" i="61"/>
  <c r="T19" i="61" s="1"/>
  <c r="W19" i="61"/>
  <c r="AB19" i="61" s="1"/>
  <c r="AC19" i="61" s="1"/>
  <c r="V19" i="61"/>
  <c r="N19" i="61"/>
  <c r="O19" i="61" s="1"/>
  <c r="E19" i="61"/>
  <c r="I19" i="61"/>
  <c r="J19" i="61" s="1"/>
  <c r="X19" i="61" l="1"/>
  <c r="Y19" i="61" s="1"/>
  <c r="W15" i="45" l="1"/>
  <c r="AB15" i="45" s="1"/>
  <c r="AC15" i="45" s="1"/>
  <c r="W19" i="45"/>
  <c r="AB19" i="45" s="1"/>
  <c r="AC19" i="45" s="1"/>
  <c r="V19" i="45"/>
  <c r="W33" i="45"/>
  <c r="V24" i="45" l="1"/>
  <c r="W18" i="45"/>
  <c r="AB18" i="45" s="1"/>
  <c r="W20" i="45"/>
  <c r="AB20" i="45" s="1"/>
  <c r="S71" i="45"/>
  <c r="S19" i="45"/>
  <c r="T19" i="45" s="1"/>
  <c r="O19" i="45"/>
  <c r="X19" i="45"/>
  <c r="Y19" i="45" s="1"/>
  <c r="J19" i="45"/>
  <c r="E19" i="45"/>
  <c r="S27" i="45"/>
  <c r="Q25" i="45"/>
  <c r="R25" i="45"/>
  <c r="N35" i="53" l="1"/>
  <c r="N36" i="53"/>
  <c r="N37" i="53"/>
  <c r="N38" i="53"/>
  <c r="N33" i="58"/>
  <c r="L76" i="52" l="1"/>
  <c r="M76" i="52"/>
  <c r="N73" i="61" l="1"/>
  <c r="O73" i="61" s="1"/>
  <c r="W45" i="58" l="1"/>
  <c r="W46" i="58"/>
  <c r="W47" i="58"/>
  <c r="W48" i="58"/>
  <c r="W49" i="58"/>
  <c r="W50" i="58"/>
  <c r="W51" i="58"/>
  <c r="W52" i="58"/>
  <c r="W53" i="58"/>
  <c r="W54" i="58"/>
  <c r="AB54" i="58" s="1"/>
  <c r="AC54" i="58" s="1"/>
  <c r="W55" i="58"/>
  <c r="W56" i="58"/>
  <c r="W57" i="58"/>
  <c r="W58" i="58"/>
  <c r="W59" i="58"/>
  <c r="W60" i="58"/>
  <c r="W61" i="58"/>
  <c r="W62" i="58"/>
  <c r="W63" i="58"/>
  <c r="W64" i="58"/>
  <c r="W65" i="58"/>
  <c r="W66" i="58"/>
  <c r="W67" i="58"/>
  <c r="W68" i="58"/>
  <c r="W69" i="58"/>
  <c r="W70" i="58"/>
  <c r="W71" i="58"/>
  <c r="W72" i="58"/>
  <c r="W73" i="58"/>
  <c r="W74" i="58"/>
  <c r="W75" i="58"/>
  <c r="W44" i="58"/>
  <c r="W38" i="58"/>
  <c r="D19" i="58"/>
  <c r="E19" i="58" s="1"/>
  <c r="D16" i="58"/>
  <c r="D17" i="58"/>
  <c r="D18" i="58"/>
  <c r="D20" i="58"/>
  <c r="D21" i="58"/>
  <c r="D22" i="58"/>
  <c r="X20" i="58"/>
  <c r="O19" i="58"/>
  <c r="S18" i="58"/>
  <c r="S19" i="58"/>
  <c r="T19" i="58" s="1"/>
  <c r="S20" i="58"/>
  <c r="S21" i="58"/>
  <c r="B25" i="58"/>
  <c r="C25" i="58"/>
  <c r="D73" i="53"/>
  <c r="B20" i="57"/>
  <c r="C20" i="57"/>
  <c r="X19" i="58" l="1"/>
  <c r="AB19" i="58"/>
  <c r="AC19" i="58" s="1"/>
  <c r="AC16" i="59" l="1"/>
  <c r="X18" i="65" l="1"/>
  <c r="AB18" i="65"/>
  <c r="AC18" i="65" s="1"/>
  <c r="X16" i="65"/>
  <c r="X24" i="65"/>
  <c r="AB15" i="65"/>
  <c r="X15" i="65"/>
  <c r="X17" i="65"/>
  <c r="AB17" i="65"/>
  <c r="AC17" i="65" s="1"/>
  <c r="AB22" i="65"/>
  <c r="AC22" i="65" s="1"/>
  <c r="X22" i="65"/>
  <c r="X19" i="65"/>
  <c r="AB19" i="65"/>
  <c r="AC19" i="65" s="1"/>
  <c r="AB21" i="65"/>
  <c r="AC21" i="65" s="1"/>
  <c r="X21" i="65"/>
  <c r="X20" i="65"/>
  <c r="AB20" i="65"/>
  <c r="AC20" i="65" s="1"/>
  <c r="W25" i="65"/>
  <c r="B41" i="58"/>
  <c r="C41" i="58"/>
  <c r="AB25" i="65" l="1"/>
  <c r="AC25" i="65" s="1"/>
  <c r="AC15" i="65"/>
  <c r="D18" i="52"/>
  <c r="G41" i="61" l="1"/>
  <c r="H41" i="61"/>
  <c r="V21" i="61"/>
  <c r="W21" i="61"/>
  <c r="C25" i="61"/>
  <c r="B25" i="61"/>
  <c r="M25" i="45" l="1"/>
  <c r="S18" i="45" l="1"/>
  <c r="S63" i="45"/>
  <c r="S15" i="45"/>
  <c r="S75" i="65" l="1"/>
  <c r="S74" i="65"/>
  <c r="S73" i="65"/>
  <c r="S72" i="65"/>
  <c r="S71" i="65"/>
  <c r="S70" i="65"/>
  <c r="S69" i="65"/>
  <c r="S68" i="65"/>
  <c r="S67" i="65"/>
  <c r="S66" i="65"/>
  <c r="S65" i="65"/>
  <c r="S64" i="65"/>
  <c r="S63" i="65"/>
  <c r="S62" i="65"/>
  <c r="S61" i="65"/>
  <c r="S60" i="65"/>
  <c r="S59" i="65"/>
  <c r="S58" i="65"/>
  <c r="S57" i="65"/>
  <c r="S56" i="65"/>
  <c r="S55" i="65"/>
  <c r="S54" i="65"/>
  <c r="T54" i="65" s="1"/>
  <c r="S53" i="65"/>
  <c r="S52" i="65"/>
  <c r="S51" i="65"/>
  <c r="S50" i="65"/>
  <c r="S49" i="65"/>
  <c r="S48" i="65"/>
  <c r="S47" i="65"/>
  <c r="S46" i="65"/>
  <c r="S45" i="65"/>
  <c r="S44" i="65"/>
  <c r="S40" i="65"/>
  <c r="T40" i="65" s="1"/>
  <c r="S39" i="65"/>
  <c r="S38" i="65"/>
  <c r="S37" i="65"/>
  <c r="S36" i="65"/>
  <c r="S35" i="65"/>
  <c r="S34" i="65"/>
  <c r="S33" i="65"/>
  <c r="N75" i="65"/>
  <c r="N74" i="65"/>
  <c r="N72" i="65"/>
  <c r="N71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4" i="65"/>
  <c r="O54" i="65" s="1"/>
  <c r="N53" i="65"/>
  <c r="N52" i="65"/>
  <c r="N51" i="65"/>
  <c r="O51" i="65" s="1"/>
  <c r="N50" i="65"/>
  <c r="N49" i="65"/>
  <c r="N48" i="65"/>
  <c r="N47" i="65"/>
  <c r="N46" i="65"/>
  <c r="N45" i="65"/>
  <c r="N44" i="65"/>
  <c r="N40" i="65"/>
  <c r="N39" i="65"/>
  <c r="N38" i="65"/>
  <c r="N37" i="65"/>
  <c r="N36" i="65"/>
  <c r="N35" i="65"/>
  <c r="N34" i="65"/>
  <c r="N33" i="65"/>
  <c r="I75" i="65"/>
  <c r="I74" i="65"/>
  <c r="I73" i="65"/>
  <c r="I72" i="65"/>
  <c r="I71" i="65"/>
  <c r="I70" i="65"/>
  <c r="I69" i="65"/>
  <c r="I68" i="65"/>
  <c r="I67" i="65"/>
  <c r="I66" i="65"/>
  <c r="I65" i="65"/>
  <c r="I64" i="65"/>
  <c r="I63" i="65"/>
  <c r="I62" i="65"/>
  <c r="I61" i="65"/>
  <c r="I60" i="65"/>
  <c r="I59" i="65"/>
  <c r="I58" i="65"/>
  <c r="I57" i="65"/>
  <c r="I56" i="65"/>
  <c r="I55" i="65"/>
  <c r="I54" i="65"/>
  <c r="J54" i="65" s="1"/>
  <c r="I53" i="65"/>
  <c r="I52" i="65"/>
  <c r="I51" i="65"/>
  <c r="I50" i="65"/>
  <c r="I49" i="65"/>
  <c r="I48" i="65"/>
  <c r="I47" i="65"/>
  <c r="I46" i="65"/>
  <c r="I45" i="65"/>
  <c r="I44" i="65"/>
  <c r="I40" i="65"/>
  <c r="I39" i="65"/>
  <c r="I38" i="65"/>
  <c r="I37" i="65"/>
  <c r="I36" i="65"/>
  <c r="I35" i="65"/>
  <c r="I34" i="65"/>
  <c r="I33" i="65"/>
  <c r="D75" i="65"/>
  <c r="D74" i="65"/>
  <c r="D73" i="65"/>
  <c r="D72" i="65"/>
  <c r="D71" i="65"/>
  <c r="D70" i="65"/>
  <c r="D69" i="65"/>
  <c r="D68" i="65"/>
  <c r="D67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1" i="65"/>
  <c r="D50" i="65"/>
  <c r="D49" i="65"/>
  <c r="D48" i="65"/>
  <c r="D47" i="65"/>
  <c r="D46" i="65"/>
  <c r="D45" i="65"/>
  <c r="D44" i="65"/>
  <c r="D40" i="65"/>
  <c r="D39" i="65"/>
  <c r="D38" i="65"/>
  <c r="D37" i="65"/>
  <c r="D36" i="65"/>
  <c r="D35" i="65"/>
  <c r="D34" i="65"/>
  <c r="D33" i="65"/>
  <c r="D18" i="65"/>
  <c r="S75" i="53"/>
  <c r="S74" i="53"/>
  <c r="S73" i="53"/>
  <c r="T73" i="53" s="1"/>
  <c r="S72" i="53"/>
  <c r="S71" i="53"/>
  <c r="S70" i="53"/>
  <c r="S69" i="53"/>
  <c r="S68" i="53"/>
  <c r="S67" i="53"/>
  <c r="S66" i="53"/>
  <c r="S65" i="53"/>
  <c r="S64" i="53"/>
  <c r="S63" i="53"/>
  <c r="S62" i="53"/>
  <c r="S61" i="53"/>
  <c r="S60" i="53"/>
  <c r="S59" i="53"/>
  <c r="S58" i="53"/>
  <c r="S57" i="53"/>
  <c r="S56" i="53"/>
  <c r="S55" i="53"/>
  <c r="S54" i="53"/>
  <c r="S53" i="53"/>
  <c r="S52" i="53"/>
  <c r="S51" i="53"/>
  <c r="T51" i="53" s="1"/>
  <c r="S50" i="53"/>
  <c r="S49" i="53"/>
  <c r="S48" i="53"/>
  <c r="S47" i="53"/>
  <c r="S46" i="53"/>
  <c r="S45" i="53"/>
  <c r="S44" i="53"/>
  <c r="S40" i="53"/>
  <c r="S39" i="53"/>
  <c r="S38" i="53"/>
  <c r="S37" i="53"/>
  <c r="S36" i="53"/>
  <c r="S35" i="53"/>
  <c r="S34" i="53"/>
  <c r="S33" i="53"/>
  <c r="N40" i="53"/>
  <c r="N39" i="53"/>
  <c r="N34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47" i="53"/>
  <c r="I46" i="53"/>
  <c r="I45" i="53"/>
  <c r="I44" i="53"/>
  <c r="I40" i="53"/>
  <c r="I39" i="53"/>
  <c r="I38" i="53"/>
  <c r="I37" i="53"/>
  <c r="I36" i="53"/>
  <c r="I35" i="53"/>
  <c r="I34" i="53"/>
  <c r="I33" i="53"/>
  <c r="D75" i="53"/>
  <c r="D74" i="53"/>
  <c r="E74" i="53" s="1"/>
  <c r="D72" i="53"/>
  <c r="D71" i="53"/>
  <c r="D70" i="53"/>
  <c r="D69" i="53"/>
  <c r="D68" i="53"/>
  <c r="D67" i="53"/>
  <c r="D66" i="53"/>
  <c r="D65" i="53"/>
  <c r="D64" i="53"/>
  <c r="D63" i="53"/>
  <c r="D62" i="53"/>
  <c r="D61" i="53"/>
  <c r="D60" i="53"/>
  <c r="D59" i="53"/>
  <c r="D58" i="53"/>
  <c r="D57" i="53"/>
  <c r="D56" i="53"/>
  <c r="D55" i="53"/>
  <c r="D54" i="53"/>
  <c r="E54" i="53" s="1"/>
  <c r="D53" i="53"/>
  <c r="D52" i="53"/>
  <c r="D51" i="53"/>
  <c r="D50" i="53"/>
  <c r="D49" i="53"/>
  <c r="D48" i="53"/>
  <c r="D47" i="53"/>
  <c r="D46" i="53"/>
  <c r="D45" i="53"/>
  <c r="D44" i="53"/>
  <c r="D40" i="53"/>
  <c r="D39" i="53"/>
  <c r="D38" i="53"/>
  <c r="D37" i="53"/>
  <c r="D36" i="53"/>
  <c r="D35" i="53"/>
  <c r="D34" i="53"/>
  <c r="D33" i="53"/>
  <c r="S75" i="58"/>
  <c r="S74" i="58"/>
  <c r="S73" i="58"/>
  <c r="S72" i="58"/>
  <c r="S71" i="58"/>
  <c r="S70" i="58"/>
  <c r="S69" i="58"/>
  <c r="S68" i="58"/>
  <c r="S67" i="58"/>
  <c r="S66" i="58"/>
  <c r="S65" i="58"/>
  <c r="S64" i="58"/>
  <c r="S63" i="58"/>
  <c r="S62" i="58"/>
  <c r="S61" i="58"/>
  <c r="S60" i="58"/>
  <c r="S59" i="58"/>
  <c r="S58" i="58"/>
  <c r="S57" i="58"/>
  <c r="S56" i="58"/>
  <c r="S55" i="58"/>
  <c r="S54" i="58"/>
  <c r="S53" i="58"/>
  <c r="S52" i="58"/>
  <c r="S51" i="58"/>
  <c r="S50" i="58"/>
  <c r="S49" i="58"/>
  <c r="S48" i="58"/>
  <c r="S47" i="58"/>
  <c r="S46" i="58"/>
  <c r="S45" i="58"/>
  <c r="S44" i="58"/>
  <c r="S40" i="58"/>
  <c r="S39" i="58"/>
  <c r="S38" i="58"/>
  <c r="S37" i="58"/>
  <c r="S36" i="58"/>
  <c r="S35" i="58"/>
  <c r="S34" i="58"/>
  <c r="S33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O51" i="58" s="1"/>
  <c r="N50" i="58"/>
  <c r="N49" i="58"/>
  <c r="N48" i="58"/>
  <c r="N47" i="58"/>
  <c r="N46" i="58"/>
  <c r="N45" i="58"/>
  <c r="N44" i="58"/>
  <c r="N40" i="58"/>
  <c r="N39" i="58"/>
  <c r="N38" i="58"/>
  <c r="N37" i="58"/>
  <c r="N36" i="58"/>
  <c r="N35" i="58"/>
  <c r="N34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J54" i="58" s="1"/>
  <c r="I53" i="58"/>
  <c r="I52" i="58"/>
  <c r="I51" i="58"/>
  <c r="J51" i="58" s="1"/>
  <c r="I50" i="58"/>
  <c r="I49" i="58"/>
  <c r="I48" i="58"/>
  <c r="I47" i="58"/>
  <c r="I46" i="58"/>
  <c r="I45" i="58"/>
  <c r="I44" i="58"/>
  <c r="I40" i="58"/>
  <c r="I39" i="58"/>
  <c r="I38" i="58"/>
  <c r="I37" i="58"/>
  <c r="I36" i="58"/>
  <c r="I35" i="58"/>
  <c r="I34" i="58"/>
  <c r="I33" i="58"/>
  <c r="D75" i="58"/>
  <c r="D74" i="58"/>
  <c r="D73" i="58"/>
  <c r="D72" i="58"/>
  <c r="D71" i="58"/>
  <c r="D70" i="58"/>
  <c r="D69" i="58"/>
  <c r="D68" i="58"/>
  <c r="D67" i="58"/>
  <c r="D66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E51" i="58" s="1"/>
  <c r="D50" i="58"/>
  <c r="D49" i="58"/>
  <c r="D48" i="58"/>
  <c r="D47" i="58"/>
  <c r="D46" i="58"/>
  <c r="D45" i="58"/>
  <c r="D44" i="58"/>
  <c r="D40" i="58"/>
  <c r="E40" i="58" s="1"/>
  <c r="D39" i="58"/>
  <c r="E39" i="58" s="1"/>
  <c r="D38" i="58"/>
  <c r="E38" i="58" s="1"/>
  <c r="D37" i="58"/>
  <c r="E37" i="58" s="1"/>
  <c r="D36" i="58"/>
  <c r="E36" i="58" s="1"/>
  <c r="D35" i="58"/>
  <c r="E35" i="58" s="1"/>
  <c r="D34" i="58"/>
  <c r="E34" i="58" s="1"/>
  <c r="D33" i="58"/>
  <c r="E33" i="58" s="1"/>
  <c r="X75" i="59"/>
  <c r="X74" i="59"/>
  <c r="X73" i="59"/>
  <c r="X72" i="59"/>
  <c r="X71" i="59"/>
  <c r="X70" i="59"/>
  <c r="X69" i="59"/>
  <c r="X68" i="59"/>
  <c r="X67" i="59"/>
  <c r="X66" i="59"/>
  <c r="X65" i="59"/>
  <c r="X64" i="59"/>
  <c r="X63" i="59"/>
  <c r="X62" i="59"/>
  <c r="X61" i="59"/>
  <c r="X60" i="59"/>
  <c r="X59" i="59"/>
  <c r="X58" i="59"/>
  <c r="X57" i="59"/>
  <c r="X56" i="59"/>
  <c r="X55" i="59"/>
  <c r="X54" i="59"/>
  <c r="X53" i="59"/>
  <c r="X52" i="59"/>
  <c r="X51" i="59"/>
  <c r="Y51" i="59" s="1"/>
  <c r="X50" i="59"/>
  <c r="X49" i="59"/>
  <c r="X48" i="59"/>
  <c r="X47" i="59"/>
  <c r="X46" i="59"/>
  <c r="X45" i="59"/>
  <c r="X44" i="59"/>
  <c r="S75" i="59"/>
  <c r="S74" i="59"/>
  <c r="S73" i="59"/>
  <c r="S72" i="59"/>
  <c r="S71" i="59"/>
  <c r="S70" i="59"/>
  <c r="S69" i="59"/>
  <c r="S68" i="59"/>
  <c r="S67" i="59"/>
  <c r="S66" i="59"/>
  <c r="S65" i="59"/>
  <c r="S64" i="59"/>
  <c r="S63" i="59"/>
  <c r="S62" i="59"/>
  <c r="S61" i="59"/>
  <c r="S60" i="59"/>
  <c r="S59" i="59"/>
  <c r="S58" i="59"/>
  <c r="S57" i="59"/>
  <c r="S56" i="59"/>
  <c r="S55" i="59"/>
  <c r="S54" i="59"/>
  <c r="S53" i="59"/>
  <c r="S52" i="59"/>
  <c r="S51" i="59"/>
  <c r="S50" i="59"/>
  <c r="S49" i="59"/>
  <c r="S48" i="59"/>
  <c r="S47" i="59"/>
  <c r="S46" i="59"/>
  <c r="S45" i="59"/>
  <c r="S44" i="59"/>
  <c r="S40" i="59"/>
  <c r="S39" i="59"/>
  <c r="S38" i="59"/>
  <c r="S37" i="59"/>
  <c r="S36" i="59"/>
  <c r="S35" i="59"/>
  <c r="S34" i="59"/>
  <c r="S33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O51" i="59" s="1"/>
  <c r="N50" i="59"/>
  <c r="N49" i="59"/>
  <c r="N48" i="59"/>
  <c r="N47" i="59"/>
  <c r="N46" i="59"/>
  <c r="N45" i="59"/>
  <c r="N44" i="59"/>
  <c r="N40" i="59"/>
  <c r="N39" i="59"/>
  <c r="N38" i="59"/>
  <c r="N37" i="59"/>
  <c r="N36" i="59"/>
  <c r="N35" i="59"/>
  <c r="N34" i="59"/>
  <c r="N33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J51" i="59" s="1"/>
  <c r="I50" i="59"/>
  <c r="I49" i="59"/>
  <c r="I48" i="59"/>
  <c r="I47" i="59"/>
  <c r="I46" i="59"/>
  <c r="I45" i="59"/>
  <c r="I44" i="59"/>
  <c r="I40" i="59"/>
  <c r="I39" i="59"/>
  <c r="I38" i="59"/>
  <c r="I37" i="59"/>
  <c r="I36" i="59"/>
  <c r="I35" i="59"/>
  <c r="I34" i="59"/>
  <c r="I33" i="59"/>
  <c r="D75" i="59"/>
  <c r="D74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8" i="59"/>
  <c r="D57" i="59"/>
  <c r="D56" i="59"/>
  <c r="D55" i="59"/>
  <c r="D54" i="59"/>
  <c r="D53" i="59"/>
  <c r="D52" i="59"/>
  <c r="D51" i="59"/>
  <c r="D50" i="59"/>
  <c r="D49" i="59"/>
  <c r="D48" i="59"/>
  <c r="D47" i="59"/>
  <c r="D46" i="59"/>
  <c r="D45" i="59"/>
  <c r="D44" i="59"/>
  <c r="D40" i="59"/>
  <c r="D39" i="59"/>
  <c r="D38" i="59"/>
  <c r="D37" i="59"/>
  <c r="D36" i="59"/>
  <c r="D35" i="59"/>
  <c r="D34" i="59"/>
  <c r="D33" i="59"/>
  <c r="S75" i="48"/>
  <c r="S74" i="48"/>
  <c r="S73" i="48"/>
  <c r="S71" i="48"/>
  <c r="S70" i="48"/>
  <c r="S69" i="48"/>
  <c r="S68" i="48"/>
  <c r="S67" i="48"/>
  <c r="S66" i="48"/>
  <c r="S65" i="48"/>
  <c r="S64" i="48"/>
  <c r="S62" i="48"/>
  <c r="S61" i="48"/>
  <c r="S60" i="48"/>
  <c r="S59" i="48"/>
  <c r="S58" i="48"/>
  <c r="S57" i="48"/>
  <c r="S56" i="48"/>
  <c r="S55" i="48"/>
  <c r="S54" i="48"/>
  <c r="S53" i="48"/>
  <c r="S52" i="48"/>
  <c r="S51" i="48"/>
  <c r="S50" i="48"/>
  <c r="S49" i="48"/>
  <c r="S48" i="48"/>
  <c r="S47" i="48"/>
  <c r="S46" i="48"/>
  <c r="S45" i="48"/>
  <c r="S44" i="48"/>
  <c r="S40" i="48"/>
  <c r="S39" i="48"/>
  <c r="S38" i="48"/>
  <c r="S37" i="48"/>
  <c r="S36" i="48"/>
  <c r="S35" i="48"/>
  <c r="S34" i="48"/>
  <c r="S33" i="48"/>
  <c r="N75" i="48"/>
  <c r="N74" i="48"/>
  <c r="N73" i="48"/>
  <c r="O73" i="48" s="1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0" i="48"/>
  <c r="N39" i="48"/>
  <c r="N38" i="48"/>
  <c r="N37" i="48"/>
  <c r="N36" i="48"/>
  <c r="N35" i="48"/>
  <c r="N33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53" i="48"/>
  <c r="I52" i="48"/>
  <c r="I51" i="48"/>
  <c r="I50" i="48"/>
  <c r="I49" i="48"/>
  <c r="I48" i="48"/>
  <c r="I47" i="48"/>
  <c r="I46" i="48"/>
  <c r="I45" i="48"/>
  <c r="I44" i="48"/>
  <c r="I40" i="48"/>
  <c r="I39" i="48"/>
  <c r="I38" i="48"/>
  <c r="I37" i="48"/>
  <c r="I36" i="48"/>
  <c r="I35" i="48"/>
  <c r="I34" i="48"/>
  <c r="I33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0" i="48"/>
  <c r="D39" i="48"/>
  <c r="D38" i="48"/>
  <c r="D37" i="48"/>
  <c r="D36" i="48"/>
  <c r="D35" i="48"/>
  <c r="D34" i="48"/>
  <c r="D33" i="48"/>
  <c r="S75" i="52"/>
  <c r="S74" i="52"/>
  <c r="S73" i="52"/>
  <c r="S72" i="52"/>
  <c r="S71" i="52"/>
  <c r="S70" i="52"/>
  <c r="S69" i="52"/>
  <c r="S68" i="52"/>
  <c r="S67" i="52"/>
  <c r="S66" i="52"/>
  <c r="S65" i="52"/>
  <c r="S64" i="52"/>
  <c r="S63" i="52"/>
  <c r="S62" i="52"/>
  <c r="S61" i="52"/>
  <c r="S60" i="52"/>
  <c r="S59" i="52"/>
  <c r="S58" i="52"/>
  <c r="S57" i="52"/>
  <c r="S56" i="52"/>
  <c r="S55" i="52"/>
  <c r="S54" i="52"/>
  <c r="S53" i="52"/>
  <c r="S52" i="52"/>
  <c r="S51" i="52"/>
  <c r="S50" i="52"/>
  <c r="S49" i="52"/>
  <c r="S48" i="52"/>
  <c r="S47" i="52"/>
  <c r="S46" i="52"/>
  <c r="S45" i="52"/>
  <c r="S44" i="52"/>
  <c r="S40" i="52"/>
  <c r="S39" i="52"/>
  <c r="S38" i="52"/>
  <c r="S37" i="52"/>
  <c r="S36" i="52"/>
  <c r="S35" i="52"/>
  <c r="S34" i="52"/>
  <c r="S33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0" i="52"/>
  <c r="N39" i="52"/>
  <c r="N38" i="52"/>
  <c r="N37" i="52"/>
  <c r="N36" i="52"/>
  <c r="N35" i="52"/>
  <c r="N34" i="52"/>
  <c r="N33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61" i="52"/>
  <c r="I60" i="52"/>
  <c r="I59" i="52"/>
  <c r="I58" i="52"/>
  <c r="I57" i="52"/>
  <c r="I56" i="52"/>
  <c r="I55" i="52"/>
  <c r="I54" i="52"/>
  <c r="I53" i="52"/>
  <c r="I52" i="52"/>
  <c r="I51" i="52"/>
  <c r="I50" i="52"/>
  <c r="I49" i="52"/>
  <c r="I48" i="52"/>
  <c r="I47" i="52"/>
  <c r="I46" i="52"/>
  <c r="I45" i="52"/>
  <c r="I44" i="52"/>
  <c r="I40" i="52"/>
  <c r="I39" i="52"/>
  <c r="I38" i="52"/>
  <c r="I37" i="52"/>
  <c r="I36" i="52"/>
  <c r="I35" i="52"/>
  <c r="I34" i="52"/>
  <c r="I33" i="52"/>
  <c r="D75" i="52"/>
  <c r="D74" i="52"/>
  <c r="D73" i="52"/>
  <c r="D72" i="52"/>
  <c r="D71" i="52"/>
  <c r="D70" i="52"/>
  <c r="D69" i="52"/>
  <c r="D68" i="52"/>
  <c r="D67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1" i="52"/>
  <c r="D50" i="52"/>
  <c r="D48" i="52"/>
  <c r="D47" i="52"/>
  <c r="D46" i="52"/>
  <c r="D45" i="52"/>
  <c r="D40" i="52"/>
  <c r="D39" i="52"/>
  <c r="D38" i="52"/>
  <c r="D37" i="52"/>
  <c r="D36" i="52"/>
  <c r="D35" i="52"/>
  <c r="D34" i="52"/>
  <c r="D33" i="52"/>
  <c r="S75" i="55"/>
  <c r="S74" i="55"/>
  <c r="S73" i="55"/>
  <c r="S72" i="55"/>
  <c r="S71" i="55"/>
  <c r="S70" i="55"/>
  <c r="S69" i="55"/>
  <c r="S68" i="55"/>
  <c r="S67" i="55"/>
  <c r="S66" i="55"/>
  <c r="S65" i="55"/>
  <c r="S64" i="55"/>
  <c r="S63" i="55"/>
  <c r="S62" i="55"/>
  <c r="S61" i="55"/>
  <c r="S60" i="55"/>
  <c r="S59" i="55"/>
  <c r="S58" i="55"/>
  <c r="S57" i="55"/>
  <c r="S56" i="55"/>
  <c r="S55" i="55"/>
  <c r="S54" i="55"/>
  <c r="S53" i="55"/>
  <c r="S52" i="55"/>
  <c r="S51" i="55"/>
  <c r="T51" i="55" s="1"/>
  <c r="S50" i="55"/>
  <c r="S49" i="55"/>
  <c r="S48" i="55"/>
  <c r="S47" i="55"/>
  <c r="S46" i="55"/>
  <c r="S45" i="55"/>
  <c r="S44" i="55"/>
  <c r="S40" i="55"/>
  <c r="S39" i="55"/>
  <c r="S38" i="55"/>
  <c r="S37" i="55"/>
  <c r="S36" i="55"/>
  <c r="S35" i="55"/>
  <c r="S34" i="55"/>
  <c r="S33" i="55"/>
  <c r="N44" i="55"/>
  <c r="N40" i="55"/>
  <c r="N39" i="55"/>
  <c r="N38" i="55"/>
  <c r="N37" i="55"/>
  <c r="N36" i="55"/>
  <c r="N35" i="55"/>
  <c r="N34" i="55"/>
  <c r="N33" i="55"/>
  <c r="I40" i="55"/>
  <c r="I39" i="55"/>
  <c r="I38" i="55"/>
  <c r="I37" i="55"/>
  <c r="I36" i="55"/>
  <c r="I35" i="55"/>
  <c r="I34" i="55"/>
  <c r="I33" i="55"/>
  <c r="D40" i="55"/>
  <c r="D39" i="55"/>
  <c r="D38" i="55"/>
  <c r="D37" i="55"/>
  <c r="D36" i="55"/>
  <c r="D35" i="55"/>
  <c r="D34" i="55"/>
  <c r="D33" i="55"/>
  <c r="S75" i="61"/>
  <c r="S74" i="61"/>
  <c r="S73" i="61"/>
  <c r="S72" i="61"/>
  <c r="S71" i="61"/>
  <c r="S70" i="61"/>
  <c r="S69" i="61"/>
  <c r="S68" i="61"/>
  <c r="S67" i="61"/>
  <c r="S66" i="61"/>
  <c r="S65" i="61"/>
  <c r="S64" i="61"/>
  <c r="S63" i="61"/>
  <c r="S62" i="61"/>
  <c r="S61" i="61"/>
  <c r="S60" i="61"/>
  <c r="S59" i="61"/>
  <c r="S58" i="61"/>
  <c r="S57" i="61"/>
  <c r="S56" i="61"/>
  <c r="S55" i="61"/>
  <c r="S54" i="61"/>
  <c r="S53" i="61"/>
  <c r="S52" i="61"/>
  <c r="S51" i="61"/>
  <c r="S50" i="61"/>
  <c r="S49" i="61"/>
  <c r="S48" i="61"/>
  <c r="S47" i="61"/>
  <c r="S46" i="61"/>
  <c r="S45" i="61"/>
  <c r="S44" i="61"/>
  <c r="S40" i="61"/>
  <c r="S39" i="61"/>
  <c r="S38" i="61"/>
  <c r="S37" i="61"/>
  <c r="S36" i="61"/>
  <c r="S35" i="61"/>
  <c r="S34" i="61"/>
  <c r="S33" i="61"/>
  <c r="J54" i="61"/>
  <c r="J51" i="61"/>
  <c r="I44" i="61"/>
  <c r="E54" i="61"/>
  <c r="E51" i="61"/>
  <c r="D44" i="61"/>
  <c r="D33" i="61"/>
  <c r="S75" i="45"/>
  <c r="S74" i="45"/>
  <c r="S73" i="45"/>
  <c r="S72" i="45"/>
  <c r="S70" i="45"/>
  <c r="S69" i="45"/>
  <c r="S68" i="45"/>
  <c r="S67" i="45"/>
  <c r="S66" i="45"/>
  <c r="S65" i="45"/>
  <c r="S64" i="45"/>
  <c r="S62" i="45"/>
  <c r="S61" i="45"/>
  <c r="S60" i="45"/>
  <c r="S59" i="45"/>
  <c r="S58" i="45"/>
  <c r="S57" i="45"/>
  <c r="S56" i="45"/>
  <c r="S55" i="45"/>
  <c r="S54" i="45"/>
  <c r="S53" i="45"/>
  <c r="S52" i="45"/>
  <c r="S51" i="45"/>
  <c r="S50" i="45"/>
  <c r="S49" i="45"/>
  <c r="S48" i="45"/>
  <c r="S47" i="45"/>
  <c r="S46" i="45"/>
  <c r="S45" i="45"/>
  <c r="S44" i="45"/>
  <c r="S40" i="45"/>
  <c r="S39" i="45"/>
  <c r="S38" i="45"/>
  <c r="S37" i="45"/>
  <c r="S36" i="45"/>
  <c r="S35" i="45"/>
  <c r="S34" i="45"/>
  <c r="S33" i="45"/>
  <c r="N44" i="45"/>
  <c r="N33" i="45"/>
  <c r="I44" i="45"/>
  <c r="I33" i="45"/>
  <c r="J33" i="45" s="1"/>
  <c r="D44" i="45"/>
  <c r="D33" i="45"/>
  <c r="T54" i="53" l="1"/>
  <c r="S76" i="53"/>
  <c r="E44" i="61"/>
  <c r="D76" i="61"/>
  <c r="I76" i="52"/>
  <c r="D76" i="52"/>
  <c r="N41" i="48"/>
  <c r="S80" i="61"/>
  <c r="N75" i="61"/>
  <c r="N74" i="61"/>
  <c r="N72" i="61"/>
  <c r="N71" i="61"/>
  <c r="N70" i="61"/>
  <c r="N69" i="61"/>
  <c r="N68" i="61"/>
  <c r="N67" i="61"/>
  <c r="N66" i="61"/>
  <c r="N65" i="61"/>
  <c r="N64" i="61"/>
  <c r="N63" i="61"/>
  <c r="N62" i="61"/>
  <c r="N61" i="61"/>
  <c r="N60" i="61"/>
  <c r="N59" i="61"/>
  <c r="N58" i="61"/>
  <c r="N57" i="61"/>
  <c r="N56" i="61"/>
  <c r="N55" i="61"/>
  <c r="N54" i="61"/>
  <c r="N53" i="61"/>
  <c r="N52" i="61"/>
  <c r="N51" i="61"/>
  <c r="N50" i="61"/>
  <c r="N49" i="61"/>
  <c r="N48" i="61"/>
  <c r="N47" i="61"/>
  <c r="N46" i="61"/>
  <c r="N45" i="61"/>
  <c r="N44" i="61"/>
  <c r="I27" i="61"/>
  <c r="E33" i="55" l="1"/>
  <c r="E40" i="55"/>
  <c r="E39" i="55"/>
  <c r="E38" i="55"/>
  <c r="E37" i="55"/>
  <c r="E36" i="55"/>
  <c r="E35" i="55"/>
  <c r="E34" i="55"/>
  <c r="E40" i="61"/>
  <c r="E39" i="61"/>
  <c r="E38" i="61"/>
  <c r="E37" i="61"/>
  <c r="E36" i="61"/>
  <c r="E35" i="61"/>
  <c r="E34" i="61"/>
  <c r="E33" i="61"/>
  <c r="D41" i="55" l="1"/>
  <c r="E45" i="45" l="1"/>
  <c r="E33" i="45"/>
  <c r="S14" i="45" l="1"/>
  <c r="Y51" i="65" l="1"/>
  <c r="Y52" i="65"/>
  <c r="Y53" i="65"/>
  <c r="T51" i="65"/>
  <c r="T52" i="65"/>
  <c r="T53" i="65"/>
  <c r="E46" i="53"/>
  <c r="E47" i="53"/>
  <c r="E48" i="53"/>
  <c r="E49" i="53"/>
  <c r="E44" i="53"/>
  <c r="X45" i="58"/>
  <c r="X46" i="58"/>
  <c r="X47" i="58"/>
  <c r="X48" i="58"/>
  <c r="X49" i="58"/>
  <c r="X50" i="58"/>
  <c r="X51" i="58"/>
  <c r="X52" i="58"/>
  <c r="X53" i="58"/>
  <c r="X54" i="58"/>
  <c r="X55" i="58"/>
  <c r="X56" i="58"/>
  <c r="X57" i="58"/>
  <c r="X58" i="58"/>
  <c r="X59" i="58"/>
  <c r="X60" i="58"/>
  <c r="X61" i="58"/>
  <c r="X62" i="58"/>
  <c r="X63" i="58"/>
  <c r="X64" i="58"/>
  <c r="X65" i="58"/>
  <c r="X66" i="58"/>
  <c r="X67" i="58"/>
  <c r="X68" i="58"/>
  <c r="X69" i="58"/>
  <c r="X70" i="58"/>
  <c r="X71" i="58"/>
  <c r="X72" i="58"/>
  <c r="X73" i="58"/>
  <c r="X74" i="58"/>
  <c r="X75" i="58"/>
  <c r="X44" i="58"/>
  <c r="W34" i="58"/>
  <c r="X34" i="58" s="1"/>
  <c r="W35" i="58"/>
  <c r="X35" i="58" s="1"/>
  <c r="W36" i="58"/>
  <c r="W37" i="58"/>
  <c r="X37" i="58" s="1"/>
  <c r="X38" i="58"/>
  <c r="W39" i="58"/>
  <c r="X39" i="58" s="1"/>
  <c r="W40" i="58"/>
  <c r="X40" i="58" s="1"/>
  <c r="X33" i="58"/>
  <c r="X36" i="58" l="1"/>
  <c r="AB36" i="58"/>
  <c r="D70" i="49"/>
  <c r="D63" i="49"/>
  <c r="D57" i="49"/>
  <c r="C39" i="49"/>
  <c r="B30" i="49"/>
  <c r="C30" i="49"/>
  <c r="F39" i="49"/>
  <c r="F30" i="49"/>
  <c r="F20" i="49"/>
  <c r="J17" i="27" l="1"/>
  <c r="J21" i="27"/>
  <c r="J25" i="27"/>
  <c r="H20" i="40"/>
  <c r="G20" i="40"/>
  <c r="I70" i="40"/>
  <c r="D72" i="49"/>
  <c r="B43" i="49"/>
  <c r="J70" i="40"/>
  <c r="J57" i="40"/>
  <c r="J30" i="40"/>
  <c r="J20" i="40"/>
  <c r="J39" i="40"/>
  <c r="J43" i="40" l="1"/>
  <c r="W76" i="65"/>
  <c r="R76" i="65"/>
  <c r="V76" i="65"/>
  <c r="C70" i="64"/>
  <c r="D70" i="64"/>
  <c r="E70" i="64"/>
  <c r="F70" i="64"/>
  <c r="B70" i="64"/>
  <c r="B70" i="49"/>
  <c r="C63" i="64"/>
  <c r="D63" i="64"/>
  <c r="E63" i="64"/>
  <c r="F63" i="64"/>
  <c r="B63" i="64"/>
  <c r="B63" i="49"/>
  <c r="C57" i="64"/>
  <c r="D57" i="64"/>
  <c r="E57" i="64"/>
  <c r="F57" i="64"/>
  <c r="B57" i="64"/>
  <c r="C39" i="64"/>
  <c r="D39" i="64"/>
  <c r="E39" i="64"/>
  <c r="F39" i="64"/>
  <c r="B39" i="64"/>
  <c r="C30" i="64"/>
  <c r="D30" i="64"/>
  <c r="E30" i="64"/>
  <c r="F30" i="64"/>
  <c r="B30" i="64"/>
  <c r="C20" i="64"/>
  <c r="D20" i="64"/>
  <c r="E20" i="64"/>
  <c r="F20" i="64"/>
  <c r="B20" i="64"/>
  <c r="C72" i="64" l="1"/>
  <c r="D72" i="64"/>
  <c r="C43" i="64"/>
  <c r="B43" i="64"/>
  <c r="F43" i="64"/>
  <c r="B72" i="64"/>
  <c r="D43" i="64"/>
  <c r="F72" i="64"/>
  <c r="E72" i="64"/>
  <c r="E43" i="64"/>
  <c r="B70" i="40"/>
  <c r="E70" i="49"/>
  <c r="F70" i="49"/>
  <c r="C70" i="49"/>
  <c r="D70" i="57"/>
  <c r="B70" i="57"/>
  <c r="AA76" i="52" l="1"/>
  <c r="B76" i="52"/>
  <c r="C76" i="52"/>
  <c r="V80" i="52"/>
  <c r="V75" i="52"/>
  <c r="V74" i="52"/>
  <c r="V73" i="52"/>
  <c r="V72" i="52"/>
  <c r="V71" i="52"/>
  <c r="V70" i="52"/>
  <c r="V69" i="52"/>
  <c r="V68" i="52"/>
  <c r="V67" i="52"/>
  <c r="V66" i="52"/>
  <c r="V65" i="52"/>
  <c r="V64" i="52"/>
  <c r="V63" i="52"/>
  <c r="V62" i="52"/>
  <c r="V61" i="52"/>
  <c r="V60" i="52"/>
  <c r="V59" i="52"/>
  <c r="V58" i="52"/>
  <c r="V57" i="52"/>
  <c r="V56" i="52"/>
  <c r="V55" i="52"/>
  <c r="V54" i="52"/>
  <c r="V53" i="52"/>
  <c r="V52" i="52"/>
  <c r="V51" i="52"/>
  <c r="X51" i="52" s="1"/>
  <c r="V50" i="52"/>
  <c r="V49" i="52"/>
  <c r="V48" i="52"/>
  <c r="V47" i="52"/>
  <c r="V46" i="52"/>
  <c r="V45" i="52"/>
  <c r="V40" i="52"/>
  <c r="V39" i="52"/>
  <c r="V38" i="52"/>
  <c r="V37" i="52"/>
  <c r="V36" i="52"/>
  <c r="V35" i="52"/>
  <c r="V34" i="52"/>
  <c r="V33" i="52"/>
  <c r="X33" i="52" l="1"/>
  <c r="J81" i="52"/>
  <c r="Z81" i="55" l="1"/>
  <c r="P81" i="55"/>
  <c r="U81" i="55"/>
  <c r="K81" i="55"/>
  <c r="F81" i="55"/>
  <c r="W75" i="55"/>
  <c r="V75" i="55"/>
  <c r="W74" i="55"/>
  <c r="V74" i="55"/>
  <c r="W73" i="55"/>
  <c r="V73" i="55"/>
  <c r="W72" i="55"/>
  <c r="V72" i="55"/>
  <c r="W71" i="55"/>
  <c r="V71" i="55"/>
  <c r="W70" i="55"/>
  <c r="V70" i="55"/>
  <c r="W69" i="55"/>
  <c r="V69" i="55"/>
  <c r="W68" i="55"/>
  <c r="V68" i="55"/>
  <c r="W67" i="55"/>
  <c r="V67" i="55"/>
  <c r="W66" i="55"/>
  <c r="V66" i="55"/>
  <c r="W65" i="55"/>
  <c r="V65" i="55"/>
  <c r="W64" i="55"/>
  <c r="V64" i="55"/>
  <c r="W63" i="55"/>
  <c r="V63" i="55"/>
  <c r="W62" i="55"/>
  <c r="V62" i="55"/>
  <c r="W61" i="55"/>
  <c r="V61" i="55"/>
  <c r="W60" i="55"/>
  <c r="V60" i="55"/>
  <c r="W59" i="55"/>
  <c r="V59" i="55"/>
  <c r="W58" i="55"/>
  <c r="V58" i="55"/>
  <c r="W57" i="55"/>
  <c r="V57" i="55"/>
  <c r="W56" i="55"/>
  <c r="V56" i="55"/>
  <c r="W55" i="55"/>
  <c r="V55" i="55"/>
  <c r="W54" i="55"/>
  <c r="V54" i="55"/>
  <c r="W53" i="55"/>
  <c r="V53" i="55"/>
  <c r="W52" i="55"/>
  <c r="V52" i="55"/>
  <c r="W51" i="55"/>
  <c r="V51" i="55"/>
  <c r="W50" i="55"/>
  <c r="V50" i="55"/>
  <c r="W49" i="55"/>
  <c r="V49" i="55"/>
  <c r="W48" i="55"/>
  <c r="V48" i="55"/>
  <c r="W47" i="55"/>
  <c r="V47" i="55"/>
  <c r="W46" i="55"/>
  <c r="V46" i="55"/>
  <c r="W40" i="55"/>
  <c r="V40" i="55"/>
  <c r="W39" i="55"/>
  <c r="V39" i="55"/>
  <c r="W38" i="55"/>
  <c r="V38" i="55"/>
  <c r="W37" i="55"/>
  <c r="V37" i="55"/>
  <c r="W36" i="55"/>
  <c r="V36" i="55"/>
  <c r="W35" i="55"/>
  <c r="V35" i="55"/>
  <c r="W34" i="55"/>
  <c r="V34" i="55"/>
  <c r="W33" i="55"/>
  <c r="V33" i="55"/>
  <c r="W27" i="55"/>
  <c r="V27" i="55"/>
  <c r="W23" i="55"/>
  <c r="V23" i="55"/>
  <c r="W22" i="55"/>
  <c r="V22" i="55"/>
  <c r="W21" i="55"/>
  <c r="X21" i="55" s="1"/>
  <c r="V21" i="55"/>
  <c r="W20" i="55"/>
  <c r="V20" i="55"/>
  <c r="W19" i="55"/>
  <c r="V19" i="55"/>
  <c r="W18" i="55"/>
  <c r="V18" i="55"/>
  <c r="V17" i="55"/>
  <c r="X17" i="55" s="1"/>
  <c r="W16" i="55"/>
  <c r="V16" i="55"/>
  <c r="W15" i="55"/>
  <c r="V15" i="55"/>
  <c r="W14" i="55"/>
  <c r="S23" i="55"/>
  <c r="S22" i="55"/>
  <c r="S21" i="55"/>
  <c r="S20" i="55"/>
  <c r="S19" i="55"/>
  <c r="S18" i="55"/>
  <c r="S17" i="55"/>
  <c r="S16" i="55"/>
  <c r="S15" i="55"/>
  <c r="S14" i="55"/>
  <c r="S27" i="55"/>
  <c r="X58" i="55" l="1"/>
  <c r="AB58" i="55"/>
  <c r="X62" i="55"/>
  <c r="AB62" i="55"/>
  <c r="X66" i="55"/>
  <c r="AB66" i="55"/>
  <c r="X70" i="55"/>
  <c r="AB70" i="55"/>
  <c r="X74" i="55"/>
  <c r="AB74" i="55"/>
  <c r="X46" i="55"/>
  <c r="AB46" i="55"/>
  <c r="X47" i="55"/>
  <c r="AB47" i="55"/>
  <c r="X67" i="55"/>
  <c r="AB67" i="55"/>
  <c r="X71" i="55"/>
  <c r="AB71" i="55"/>
  <c r="X75" i="55"/>
  <c r="AB75" i="55"/>
  <c r="X50" i="55"/>
  <c r="AB50" i="55"/>
  <c r="X59" i="55"/>
  <c r="AB59" i="55"/>
  <c r="X52" i="55"/>
  <c r="AB52" i="55"/>
  <c r="X56" i="55"/>
  <c r="AB56" i="55"/>
  <c r="X60" i="55"/>
  <c r="AB60" i="55"/>
  <c r="X64" i="55"/>
  <c r="AB64" i="55"/>
  <c r="X68" i="55"/>
  <c r="AB68" i="55"/>
  <c r="X72" i="55"/>
  <c r="AB72" i="55"/>
  <c r="X55" i="55"/>
  <c r="AB55" i="55"/>
  <c r="X63" i="55"/>
  <c r="AB63" i="55"/>
  <c r="X48" i="55"/>
  <c r="AB48" i="55"/>
  <c r="X53" i="55"/>
  <c r="AB53" i="55"/>
  <c r="X57" i="55"/>
  <c r="AB57" i="55"/>
  <c r="X65" i="55"/>
  <c r="AB65" i="55"/>
  <c r="X69" i="55"/>
  <c r="AB69" i="55"/>
  <c r="X73" i="55"/>
  <c r="AB73" i="55"/>
  <c r="X54" i="55"/>
  <c r="AB54" i="55"/>
  <c r="AC54" i="55" s="1"/>
  <c r="X51" i="55"/>
  <c r="AB51" i="55"/>
  <c r="AC51" i="55" s="1"/>
  <c r="X49" i="55"/>
  <c r="AB49" i="55"/>
  <c r="X61" i="55"/>
  <c r="AB61" i="55"/>
  <c r="X36" i="55"/>
  <c r="X35" i="55"/>
  <c r="X39" i="55"/>
  <c r="X40" i="55"/>
  <c r="X37" i="55"/>
  <c r="X34" i="55"/>
  <c r="AB38" i="55"/>
  <c r="AC38" i="55" s="1"/>
  <c r="X38" i="55"/>
  <c r="X20" i="55"/>
  <c r="X23" i="55"/>
  <c r="X18" i="55"/>
  <c r="X15" i="55"/>
  <c r="X22" i="55"/>
  <c r="X19" i="55"/>
  <c r="X16" i="55"/>
  <c r="S25" i="55"/>
  <c r="V25" i="55"/>
  <c r="W25" i="55"/>
  <c r="X27" i="55"/>
  <c r="X33" i="55"/>
  <c r="X14" i="55"/>
  <c r="K81" i="61"/>
  <c r="AB76" i="55" l="1"/>
  <c r="X25" i="55"/>
  <c r="Z81" i="61"/>
  <c r="W45" i="61" l="1"/>
  <c r="AB45" i="61" s="1"/>
  <c r="AC45" i="61" s="1"/>
  <c r="W46" i="61"/>
  <c r="W47" i="61"/>
  <c r="AB47" i="61" s="1"/>
  <c r="AC47" i="61" s="1"/>
  <c r="W48" i="61"/>
  <c r="AB48" i="61" s="1"/>
  <c r="AC48" i="61" s="1"/>
  <c r="W49" i="61"/>
  <c r="AB49" i="61" s="1"/>
  <c r="AC49" i="61" s="1"/>
  <c r="W50" i="61"/>
  <c r="AB50" i="61" s="1"/>
  <c r="AC50" i="61" s="1"/>
  <c r="W51" i="61"/>
  <c r="AB51" i="61" s="1"/>
  <c r="AC51" i="61" s="1"/>
  <c r="W52" i="61"/>
  <c r="AB52" i="61" s="1"/>
  <c r="AC52" i="61" s="1"/>
  <c r="W53" i="61"/>
  <c r="AB53" i="61" s="1"/>
  <c r="AC53" i="61" s="1"/>
  <c r="W54" i="61"/>
  <c r="AB54" i="61" s="1"/>
  <c r="AC54" i="61" s="1"/>
  <c r="W55" i="61"/>
  <c r="AB55" i="61" s="1"/>
  <c r="AC55" i="61" s="1"/>
  <c r="W56" i="61"/>
  <c r="AB56" i="61" s="1"/>
  <c r="AC56" i="61" s="1"/>
  <c r="W57" i="61"/>
  <c r="AB57" i="61" s="1"/>
  <c r="AC57" i="61" s="1"/>
  <c r="W58" i="61"/>
  <c r="AB58" i="61" s="1"/>
  <c r="AC58" i="61" s="1"/>
  <c r="W59" i="61"/>
  <c r="AB59" i="61" s="1"/>
  <c r="AC59" i="61" s="1"/>
  <c r="W60" i="61"/>
  <c r="AB60" i="61" s="1"/>
  <c r="AC60" i="61" s="1"/>
  <c r="W61" i="61"/>
  <c r="AB61" i="61" s="1"/>
  <c r="AC61" i="61" s="1"/>
  <c r="W62" i="61"/>
  <c r="AB62" i="61" s="1"/>
  <c r="AC62" i="61" s="1"/>
  <c r="W63" i="61"/>
  <c r="AB63" i="61" s="1"/>
  <c r="AC63" i="61" s="1"/>
  <c r="W64" i="61"/>
  <c r="AB64" i="61" s="1"/>
  <c r="AC64" i="61" s="1"/>
  <c r="W65" i="61"/>
  <c r="AB65" i="61" s="1"/>
  <c r="AC65" i="61" s="1"/>
  <c r="W66" i="61"/>
  <c r="AB66" i="61" s="1"/>
  <c r="AC66" i="61" s="1"/>
  <c r="W67" i="61"/>
  <c r="AB67" i="61" s="1"/>
  <c r="AC67" i="61" s="1"/>
  <c r="W68" i="61"/>
  <c r="AB68" i="61" s="1"/>
  <c r="AC68" i="61" s="1"/>
  <c r="W69" i="61"/>
  <c r="AB69" i="61" s="1"/>
  <c r="AC69" i="61" s="1"/>
  <c r="W70" i="61"/>
  <c r="AB70" i="61" s="1"/>
  <c r="AC70" i="61" s="1"/>
  <c r="W71" i="61"/>
  <c r="AB71" i="61" s="1"/>
  <c r="AC71" i="61" s="1"/>
  <c r="W72" i="61"/>
  <c r="AB72" i="61" s="1"/>
  <c r="AC72" i="61" s="1"/>
  <c r="W73" i="61"/>
  <c r="AB73" i="61" s="1"/>
  <c r="AC73" i="61" s="1"/>
  <c r="W74" i="61"/>
  <c r="AC74" i="61" s="1"/>
  <c r="W75" i="61"/>
  <c r="AB75" i="61" s="1"/>
  <c r="AC75" i="61" s="1"/>
  <c r="W44" i="61"/>
  <c r="AB44" i="61" s="1"/>
  <c r="W40" i="61"/>
  <c r="X40" i="61" s="1"/>
  <c r="W39" i="61"/>
  <c r="X39" i="61" s="1"/>
  <c r="W38" i="61"/>
  <c r="X38" i="61" s="1"/>
  <c r="W37" i="61"/>
  <c r="X37" i="61" s="1"/>
  <c r="W36" i="61"/>
  <c r="X36" i="61" s="1"/>
  <c r="W35" i="61"/>
  <c r="X35" i="61" s="1"/>
  <c r="X34" i="61"/>
  <c r="X33" i="61"/>
  <c r="W15" i="61"/>
  <c r="AB15" i="61" s="1"/>
  <c r="AC15" i="61" s="1"/>
  <c r="W16" i="61"/>
  <c r="AB16" i="61" s="1"/>
  <c r="AC16" i="61" s="1"/>
  <c r="W17" i="61"/>
  <c r="AB17" i="61" s="1"/>
  <c r="AC17" i="61" s="1"/>
  <c r="W18" i="61"/>
  <c r="AB18" i="61" s="1"/>
  <c r="AC18" i="61" s="1"/>
  <c r="W20" i="61"/>
  <c r="AB20" i="61" s="1"/>
  <c r="AC20" i="61" s="1"/>
  <c r="AB21" i="61"/>
  <c r="AC21" i="61" s="1"/>
  <c r="W22" i="61"/>
  <c r="AB22" i="61" s="1"/>
  <c r="AC22" i="61" s="1"/>
  <c r="W23" i="61"/>
  <c r="AB23" i="61" s="1"/>
  <c r="AC23" i="61" s="1"/>
  <c r="W24" i="61"/>
  <c r="AB24" i="61" s="1"/>
  <c r="AC24" i="61" s="1"/>
  <c r="P81" i="61"/>
  <c r="G76" i="61"/>
  <c r="F79" i="61"/>
  <c r="F81" i="61" s="1"/>
  <c r="B76" i="61"/>
  <c r="AB46" i="61" l="1"/>
  <c r="AC46" i="61" s="1"/>
  <c r="W76" i="61"/>
  <c r="AC44" i="61"/>
  <c r="X58" i="61"/>
  <c r="AB37" i="61"/>
  <c r="AC37" i="61" s="1"/>
  <c r="AB35" i="61"/>
  <c r="AC35" i="61" s="1"/>
  <c r="AB38" i="61"/>
  <c r="AC38" i="61" s="1"/>
  <c r="AB39" i="61"/>
  <c r="AC39" i="61" s="1"/>
  <c r="AB34" i="61"/>
  <c r="AC34" i="61" s="1"/>
  <c r="AB36" i="61"/>
  <c r="AC36" i="61" s="1"/>
  <c r="AB40" i="61"/>
  <c r="AC40" i="61" s="1"/>
  <c r="W46" i="45"/>
  <c r="W47" i="45"/>
  <c r="W48" i="45"/>
  <c r="W49" i="45"/>
  <c r="W50" i="45"/>
  <c r="W51" i="45"/>
  <c r="AB51" i="45" s="1"/>
  <c r="W52" i="45"/>
  <c r="W53" i="45"/>
  <c r="W54" i="45"/>
  <c r="AB54" i="45" s="1"/>
  <c r="W55" i="45"/>
  <c r="W56" i="45"/>
  <c r="W57" i="45"/>
  <c r="W58" i="45"/>
  <c r="W59" i="45"/>
  <c r="W60" i="45"/>
  <c r="W61" i="45"/>
  <c r="W62" i="45"/>
  <c r="W63" i="45"/>
  <c r="W64" i="45"/>
  <c r="W65" i="45"/>
  <c r="W67" i="45"/>
  <c r="W68" i="45"/>
  <c r="W69" i="45"/>
  <c r="W70" i="45"/>
  <c r="W71" i="45"/>
  <c r="W72" i="45"/>
  <c r="W73" i="45"/>
  <c r="W74" i="45"/>
  <c r="W75" i="45"/>
  <c r="W45" i="45"/>
  <c r="W44" i="45"/>
  <c r="V34" i="45"/>
  <c r="W34" i="45"/>
  <c r="W35" i="45"/>
  <c r="V36" i="45"/>
  <c r="W36" i="45"/>
  <c r="V37" i="45"/>
  <c r="W37" i="45"/>
  <c r="V38" i="45"/>
  <c r="W38" i="45"/>
  <c r="V39" i="45"/>
  <c r="W39" i="45"/>
  <c r="V40" i="45"/>
  <c r="W40" i="45"/>
  <c r="V33" i="45"/>
  <c r="AC14" i="45"/>
  <c r="V15" i="45"/>
  <c r="V16" i="45"/>
  <c r="W16" i="45"/>
  <c r="AB16" i="45" s="1"/>
  <c r="V17" i="45"/>
  <c r="W17" i="45"/>
  <c r="AB17" i="45" s="1"/>
  <c r="V18" i="45"/>
  <c r="V20" i="45"/>
  <c r="V21" i="45"/>
  <c r="W21" i="45"/>
  <c r="AB21" i="45" s="1"/>
  <c r="V22" i="45"/>
  <c r="W22" i="45"/>
  <c r="AB22" i="45" s="1"/>
  <c r="V23" i="45"/>
  <c r="W23" i="45"/>
  <c r="W24" i="45"/>
  <c r="AB24" i="45" s="1"/>
  <c r="G76" i="45"/>
  <c r="H76" i="45"/>
  <c r="T54" i="45"/>
  <c r="S16" i="45"/>
  <c r="S17" i="45"/>
  <c r="S20" i="45"/>
  <c r="S21" i="45"/>
  <c r="S22" i="45"/>
  <c r="S23" i="45"/>
  <c r="S24" i="45"/>
  <c r="AB76" i="61" l="1"/>
  <c r="AC76" i="61" s="1"/>
  <c r="X34" i="45"/>
  <c r="X67" i="45"/>
  <c r="Y67" i="45" s="1"/>
  <c r="AB67" i="45"/>
  <c r="X59" i="45"/>
  <c r="Y59" i="45" s="1"/>
  <c r="AB59" i="45"/>
  <c r="X50" i="45"/>
  <c r="Y50" i="45" s="1"/>
  <c r="AB50" i="45"/>
  <c r="X65" i="45"/>
  <c r="Y65" i="45" s="1"/>
  <c r="AB65" i="45"/>
  <c r="X48" i="45"/>
  <c r="Y48" i="45" s="1"/>
  <c r="AB48" i="45"/>
  <c r="X63" i="45"/>
  <c r="Y63" i="45" s="1"/>
  <c r="AB63" i="45"/>
  <c r="X55" i="45"/>
  <c r="Y55" i="45" s="1"/>
  <c r="AB55" i="45"/>
  <c r="AC55" i="45" s="1"/>
  <c r="X47" i="45"/>
  <c r="Y47" i="45" s="1"/>
  <c r="AB47" i="45"/>
  <c r="X68" i="45"/>
  <c r="Y68" i="45" s="1"/>
  <c r="AB68" i="45"/>
  <c r="X75" i="45"/>
  <c r="Y75" i="45" s="1"/>
  <c r="AB75" i="45"/>
  <c r="X49" i="45"/>
  <c r="Y49" i="45" s="1"/>
  <c r="AB49" i="45"/>
  <c r="X64" i="45"/>
  <c r="Y64" i="45" s="1"/>
  <c r="AB64" i="45"/>
  <c r="X71" i="45"/>
  <c r="Y71" i="45" s="1"/>
  <c r="AB71" i="45"/>
  <c r="X46" i="45"/>
  <c r="Y46" i="45" s="1"/>
  <c r="AB46" i="45"/>
  <c r="X45" i="45"/>
  <c r="Y45" i="45" s="1"/>
  <c r="AB45" i="45"/>
  <c r="X58" i="45"/>
  <c r="Y58" i="45" s="1"/>
  <c r="AB58" i="45"/>
  <c r="X57" i="45"/>
  <c r="Y57" i="45" s="1"/>
  <c r="AB57" i="45"/>
  <c r="X73" i="45"/>
  <c r="Y73" i="45" s="1"/>
  <c r="AB73" i="45"/>
  <c r="X56" i="45"/>
  <c r="Y56" i="45" s="1"/>
  <c r="AB56" i="45"/>
  <c r="X72" i="45"/>
  <c r="Y72" i="45" s="1"/>
  <c r="AB72" i="45"/>
  <c r="X62" i="45"/>
  <c r="Y62" i="45" s="1"/>
  <c r="X70" i="45"/>
  <c r="Y70" i="45" s="1"/>
  <c r="AB70" i="45"/>
  <c r="X61" i="45"/>
  <c r="Y61" i="45" s="1"/>
  <c r="AB61" i="45"/>
  <c r="X53" i="45"/>
  <c r="Y53" i="45" s="1"/>
  <c r="AB53" i="45"/>
  <c r="X74" i="45"/>
  <c r="Y74" i="45" s="1"/>
  <c r="AB74" i="45"/>
  <c r="X44" i="45"/>
  <c r="Y44" i="45" s="1"/>
  <c r="AB44" i="45"/>
  <c r="X69" i="45"/>
  <c r="Y69" i="45" s="1"/>
  <c r="AB69" i="45"/>
  <c r="X60" i="45"/>
  <c r="Y60" i="45" s="1"/>
  <c r="AB60" i="45"/>
  <c r="X52" i="45"/>
  <c r="Y52" i="45" s="1"/>
  <c r="AB52" i="45"/>
  <c r="X38" i="45"/>
  <c r="X23" i="45"/>
  <c r="AB23" i="45"/>
  <c r="X51" i="45"/>
  <c r="Y51" i="45" s="1"/>
  <c r="AC51" i="45"/>
  <c r="AC54" i="45"/>
  <c r="X54" i="45"/>
  <c r="Y54" i="45" s="1"/>
  <c r="X39" i="45"/>
  <c r="X35" i="45"/>
  <c r="X18" i="45"/>
  <c r="X22" i="45"/>
  <c r="X17" i="45"/>
  <c r="X37" i="45"/>
  <c r="X40" i="45"/>
  <c r="X36" i="45"/>
  <c r="W41" i="45"/>
  <c r="V41" i="45"/>
  <c r="X33" i="45"/>
  <c r="X21" i="45"/>
  <c r="X16" i="45"/>
  <c r="X15" i="45"/>
  <c r="X20" i="45"/>
  <c r="X24" i="45"/>
  <c r="X14" i="45"/>
  <c r="B70" i="44"/>
  <c r="X25" i="45" l="1"/>
  <c r="X76" i="45"/>
  <c r="AB25" i="45"/>
  <c r="X45" i="61" l="1"/>
  <c r="V46" i="61"/>
  <c r="X46" i="61" s="1"/>
  <c r="V47" i="61"/>
  <c r="X47" i="61" s="1"/>
  <c r="V48" i="61"/>
  <c r="X48" i="61" s="1"/>
  <c r="X49" i="61"/>
  <c r="V50" i="61"/>
  <c r="X50" i="61" s="1"/>
  <c r="V51" i="61"/>
  <c r="X51" i="61" s="1"/>
  <c r="V52" i="61"/>
  <c r="X52" i="61" s="1"/>
  <c r="V53" i="61"/>
  <c r="X53" i="61" s="1"/>
  <c r="V54" i="61"/>
  <c r="X54" i="61" s="1"/>
  <c r="V55" i="61"/>
  <c r="X55" i="61" s="1"/>
  <c r="V56" i="61"/>
  <c r="X56" i="61" s="1"/>
  <c r="V57" i="61"/>
  <c r="X57" i="61" s="1"/>
  <c r="X59" i="61"/>
  <c r="X60" i="61"/>
  <c r="X61" i="61"/>
  <c r="X62" i="61"/>
  <c r="X63" i="61"/>
  <c r="X64" i="61"/>
  <c r="X65" i="61"/>
  <c r="X66" i="61"/>
  <c r="X67" i="61"/>
  <c r="X68" i="61"/>
  <c r="X69" i="61"/>
  <c r="X70" i="61"/>
  <c r="X71" i="61"/>
  <c r="X72" i="61"/>
  <c r="X73" i="61"/>
  <c r="X74" i="61"/>
  <c r="X75" i="61"/>
  <c r="X44" i="61"/>
  <c r="H25" i="45" l="1"/>
  <c r="V15" i="61"/>
  <c r="V16" i="61"/>
  <c r="V17" i="61"/>
  <c r="V18" i="61"/>
  <c r="V20" i="61"/>
  <c r="V22" i="61"/>
  <c r="V23" i="61"/>
  <c r="V24" i="61"/>
  <c r="T34" i="52" l="1"/>
  <c r="T35" i="52"/>
  <c r="T36" i="52"/>
  <c r="T37" i="52"/>
  <c r="T38" i="52"/>
  <c r="X54" i="52"/>
  <c r="E34" i="52"/>
  <c r="E36" i="52"/>
  <c r="E37" i="52"/>
  <c r="E39" i="52"/>
  <c r="AB54" i="52" l="1"/>
  <c r="AC54" i="52" s="1"/>
  <c r="V76" i="61"/>
  <c r="O60" i="61"/>
  <c r="O58" i="61"/>
  <c r="O52" i="61"/>
  <c r="O53" i="61"/>
  <c r="O55" i="61"/>
  <c r="O56" i="61"/>
  <c r="O57" i="61"/>
  <c r="O59" i="61"/>
  <c r="O61" i="61"/>
  <c r="O62" i="61"/>
  <c r="O63" i="61"/>
  <c r="O64" i="61"/>
  <c r="O65" i="61"/>
  <c r="O66" i="61"/>
  <c r="O67" i="61"/>
  <c r="O68" i="61"/>
  <c r="O69" i="61"/>
  <c r="O70" i="61"/>
  <c r="O71" i="61"/>
  <c r="O72" i="61"/>
  <c r="O74" i="61"/>
  <c r="O75" i="61"/>
  <c r="M76" i="61"/>
  <c r="N80" i="61"/>
  <c r="N82" i="61"/>
  <c r="O82" i="61"/>
  <c r="T33" i="61"/>
  <c r="T34" i="61"/>
  <c r="X18" i="61"/>
  <c r="Y18" i="61" s="1"/>
  <c r="X21" i="61"/>
  <c r="Y21" i="61" s="1"/>
  <c r="X24" i="61"/>
  <c r="Y24" i="61" s="1"/>
  <c r="X22" i="61"/>
  <c r="Y22" i="61" s="1"/>
  <c r="X20" i="61"/>
  <c r="Y20" i="61" s="1"/>
  <c r="X16" i="61"/>
  <c r="Y16" i="61" s="1"/>
  <c r="X14" i="61"/>
  <c r="Y14" i="61" s="1"/>
  <c r="S15" i="61"/>
  <c r="S16" i="61"/>
  <c r="S17" i="61"/>
  <c r="S20" i="61"/>
  <c r="S22" i="61"/>
  <c r="S23" i="61"/>
  <c r="S24" i="61"/>
  <c r="S14" i="61"/>
  <c r="N14" i="61"/>
  <c r="E22" i="61"/>
  <c r="S25" i="61" l="1"/>
  <c r="X76" i="61"/>
  <c r="N76" i="61"/>
  <c r="X23" i="61"/>
  <c r="Y23" i="61" s="1"/>
  <c r="X15" i="61"/>
  <c r="Y15" i="61" s="1"/>
  <c r="X17" i="61"/>
  <c r="Y17" i="61" s="1"/>
  <c r="C70" i="57" l="1"/>
  <c r="E70" i="57"/>
  <c r="F70" i="57"/>
  <c r="C63" i="49"/>
  <c r="E63" i="49"/>
  <c r="F63" i="49"/>
  <c r="B63" i="57"/>
  <c r="F57" i="49"/>
  <c r="C57" i="49"/>
  <c r="E57" i="49"/>
  <c r="B57" i="49"/>
  <c r="B72" i="49" s="1"/>
  <c r="B57" i="57"/>
  <c r="C57" i="57"/>
  <c r="D57" i="57"/>
  <c r="E57" i="57"/>
  <c r="F57" i="57"/>
  <c r="D39" i="49"/>
  <c r="E39" i="49"/>
  <c r="B39" i="57"/>
  <c r="D30" i="49"/>
  <c r="E30" i="49"/>
  <c r="C30" i="57"/>
  <c r="D30" i="57"/>
  <c r="E30" i="57"/>
  <c r="F30" i="57"/>
  <c r="B30" i="57"/>
  <c r="D20" i="57"/>
  <c r="E20" i="57"/>
  <c r="F20" i="57"/>
  <c r="C39" i="57"/>
  <c r="B39" i="60"/>
  <c r="B30" i="60"/>
  <c r="C30" i="60"/>
  <c r="D30" i="60"/>
  <c r="E30" i="60"/>
  <c r="F30" i="60"/>
  <c r="B63" i="60"/>
  <c r="B57" i="60"/>
  <c r="C39" i="60"/>
  <c r="J22" i="27" l="1"/>
  <c r="J27" i="27"/>
  <c r="J13" i="27"/>
  <c r="J18" i="27"/>
  <c r="I27" i="27"/>
  <c r="I22" i="27"/>
  <c r="I21" i="27"/>
  <c r="I17" i="27"/>
  <c r="I25" i="27"/>
  <c r="E72" i="49"/>
  <c r="E43" i="49"/>
  <c r="D43" i="49"/>
  <c r="C72" i="49"/>
  <c r="F72" i="49"/>
  <c r="F43" i="49"/>
  <c r="J14" i="27" s="1"/>
  <c r="C43" i="49"/>
  <c r="C43" i="57"/>
  <c r="B43" i="57"/>
  <c r="F63" i="57" l="1"/>
  <c r="F39" i="57"/>
  <c r="I18" i="27" l="1"/>
  <c r="I13" i="27"/>
  <c r="F72" i="57"/>
  <c r="F43" i="57"/>
  <c r="I14" i="27" s="1"/>
  <c r="C70" i="56" l="1"/>
  <c r="D70" i="56"/>
  <c r="E70" i="56"/>
  <c r="F70" i="56"/>
  <c r="B70" i="56"/>
  <c r="C63" i="56"/>
  <c r="D63" i="56"/>
  <c r="E63" i="56"/>
  <c r="F63" i="56"/>
  <c r="B63" i="56"/>
  <c r="C57" i="56"/>
  <c r="D57" i="56"/>
  <c r="E57" i="56"/>
  <c r="F57" i="56"/>
  <c r="B57" i="56"/>
  <c r="C39" i="56"/>
  <c r="D39" i="56"/>
  <c r="E39" i="56"/>
  <c r="F39" i="56"/>
  <c r="B39" i="56"/>
  <c r="C30" i="56"/>
  <c r="D30" i="56"/>
  <c r="E30" i="56"/>
  <c r="F30" i="56"/>
  <c r="B30" i="56"/>
  <c r="C20" i="56"/>
  <c r="D20" i="56"/>
  <c r="E20" i="56"/>
  <c r="F20" i="56"/>
  <c r="B20" i="56"/>
  <c r="E18" i="27" l="1"/>
  <c r="E13" i="27"/>
  <c r="E27" i="27"/>
  <c r="E22" i="27"/>
  <c r="E17" i="27"/>
  <c r="E21" i="27"/>
  <c r="E25" i="27"/>
  <c r="B72" i="56"/>
  <c r="D72" i="56"/>
  <c r="E72" i="56"/>
  <c r="C72" i="56"/>
  <c r="F72" i="56"/>
  <c r="B43" i="56"/>
  <c r="E43" i="56"/>
  <c r="C43" i="56"/>
  <c r="F43" i="56"/>
  <c r="E14" i="27" s="1"/>
  <c r="D43" i="56"/>
  <c r="R76" i="55" l="1"/>
  <c r="Q76" i="55"/>
  <c r="X35" i="65" l="1"/>
  <c r="X36" i="65"/>
  <c r="X38" i="65"/>
  <c r="X39" i="65"/>
  <c r="X40" i="65"/>
  <c r="Q41" i="65"/>
  <c r="W82" i="65"/>
  <c r="V82" i="65"/>
  <c r="AA82" i="65" s="1"/>
  <c r="S82" i="65"/>
  <c r="T82" i="65" s="1"/>
  <c r="N82" i="65"/>
  <c r="O82" i="65" s="1"/>
  <c r="I82" i="65"/>
  <c r="J82" i="65" s="1"/>
  <c r="D82" i="65"/>
  <c r="E82" i="65" s="1"/>
  <c r="AC81" i="65"/>
  <c r="Y81" i="65"/>
  <c r="T81" i="65"/>
  <c r="O81" i="65"/>
  <c r="J81" i="65"/>
  <c r="E81" i="65"/>
  <c r="S80" i="65"/>
  <c r="N80" i="65"/>
  <c r="I80" i="65"/>
  <c r="D80" i="65"/>
  <c r="Z79" i="65"/>
  <c r="Z81" i="65" s="1"/>
  <c r="U79" i="65"/>
  <c r="U81" i="65" s="1"/>
  <c r="P79" i="65"/>
  <c r="P81" i="65" s="1"/>
  <c r="K79" i="65"/>
  <c r="K81" i="65" s="1"/>
  <c r="F79" i="65"/>
  <c r="F81" i="65" s="1"/>
  <c r="Q76" i="65"/>
  <c r="M76" i="65"/>
  <c r="L76" i="65"/>
  <c r="H76" i="65"/>
  <c r="G76" i="65"/>
  <c r="C76" i="65"/>
  <c r="B76" i="65"/>
  <c r="O64" i="65"/>
  <c r="O53" i="65"/>
  <c r="E45" i="65"/>
  <c r="E70" i="65"/>
  <c r="D14" i="65"/>
  <c r="I14" i="65"/>
  <c r="N14" i="65"/>
  <c r="S14" i="65"/>
  <c r="S25" i="65" s="1"/>
  <c r="D15" i="65"/>
  <c r="I15" i="65"/>
  <c r="J15" i="65" s="1"/>
  <c r="N15" i="65"/>
  <c r="D16" i="65"/>
  <c r="E16" i="65" s="1"/>
  <c r="I16" i="65"/>
  <c r="J16" i="65" s="1"/>
  <c r="N16" i="65"/>
  <c r="O16" i="65" s="1"/>
  <c r="T16" i="65"/>
  <c r="D17" i="65"/>
  <c r="I17" i="65"/>
  <c r="N17" i="65"/>
  <c r="E18" i="65"/>
  <c r="I18" i="65"/>
  <c r="J18" i="65" s="1"/>
  <c r="N18" i="65"/>
  <c r="T18" i="65"/>
  <c r="D19" i="65"/>
  <c r="E19" i="65" s="1"/>
  <c r="I19" i="65"/>
  <c r="J19" i="65" s="1"/>
  <c r="N19" i="65"/>
  <c r="O19" i="65" s="1"/>
  <c r="T19" i="65"/>
  <c r="D20" i="65"/>
  <c r="E20" i="65" s="1"/>
  <c r="I20" i="65"/>
  <c r="J20" i="65" s="1"/>
  <c r="N20" i="65"/>
  <c r="O20" i="65" s="1"/>
  <c r="T20" i="65"/>
  <c r="D21" i="65"/>
  <c r="E21" i="65" s="1"/>
  <c r="I21" i="65"/>
  <c r="J21" i="65" s="1"/>
  <c r="N21" i="65"/>
  <c r="O21" i="65" s="1"/>
  <c r="T21" i="65"/>
  <c r="D22" i="65"/>
  <c r="I22" i="65"/>
  <c r="J22" i="65" s="1"/>
  <c r="N22" i="65"/>
  <c r="O22" i="65" s="1"/>
  <c r="D24" i="65"/>
  <c r="E24" i="65" s="1"/>
  <c r="I24" i="65"/>
  <c r="J24" i="65" s="1"/>
  <c r="N24" i="65"/>
  <c r="O24" i="65" s="1"/>
  <c r="D27" i="65"/>
  <c r="E26" i="65" s="1"/>
  <c r="I27" i="65"/>
  <c r="J26" i="65" s="1"/>
  <c r="O26" i="65"/>
  <c r="S27" i="65"/>
  <c r="T26" i="65" s="1"/>
  <c r="V27" i="65"/>
  <c r="V29" i="65" s="1"/>
  <c r="W27" i="65"/>
  <c r="E33" i="65"/>
  <c r="J33" i="65"/>
  <c r="O33" i="65"/>
  <c r="T33" i="65"/>
  <c r="J34" i="65"/>
  <c r="T34" i="65"/>
  <c r="E35" i="65"/>
  <c r="J35" i="65"/>
  <c r="O35" i="65"/>
  <c r="E36" i="65"/>
  <c r="J36" i="65"/>
  <c r="O36" i="65"/>
  <c r="T36" i="65"/>
  <c r="E37" i="65"/>
  <c r="J37" i="65"/>
  <c r="O37" i="65"/>
  <c r="T37" i="65"/>
  <c r="E38" i="65"/>
  <c r="J38" i="65"/>
  <c r="O38" i="65"/>
  <c r="E39" i="65"/>
  <c r="J39" i="65"/>
  <c r="O39" i="65"/>
  <c r="T39" i="65"/>
  <c r="E40" i="65"/>
  <c r="J40" i="65"/>
  <c r="O40" i="65"/>
  <c r="B41" i="65"/>
  <c r="C41" i="65"/>
  <c r="G41" i="65"/>
  <c r="H41" i="65"/>
  <c r="L41" i="65"/>
  <c r="M41" i="65"/>
  <c r="R41" i="65"/>
  <c r="AA41" i="65"/>
  <c r="J45" i="65"/>
  <c r="O45" i="65"/>
  <c r="T45" i="65"/>
  <c r="E46" i="65"/>
  <c r="J46" i="65"/>
  <c r="O46" i="65"/>
  <c r="T46" i="65"/>
  <c r="E47" i="65"/>
  <c r="J47" i="65"/>
  <c r="O47" i="65"/>
  <c r="T47" i="65"/>
  <c r="E48" i="65"/>
  <c r="J48" i="65"/>
  <c r="O48" i="65"/>
  <c r="T48" i="65"/>
  <c r="E49" i="65"/>
  <c r="J49" i="65"/>
  <c r="O49" i="65"/>
  <c r="T49" i="65"/>
  <c r="E50" i="65"/>
  <c r="J50" i="65"/>
  <c r="O50" i="65"/>
  <c r="T50" i="65"/>
  <c r="E51" i="65"/>
  <c r="E52" i="65"/>
  <c r="J52" i="65"/>
  <c r="O52" i="65"/>
  <c r="E53" i="65"/>
  <c r="E54" i="65"/>
  <c r="E55" i="65"/>
  <c r="J55" i="65"/>
  <c r="O55" i="65"/>
  <c r="T55" i="65"/>
  <c r="E56" i="65"/>
  <c r="O56" i="65"/>
  <c r="T56" i="65"/>
  <c r="E57" i="65"/>
  <c r="J57" i="65"/>
  <c r="O57" i="65"/>
  <c r="T57" i="65"/>
  <c r="E58" i="65"/>
  <c r="J58" i="65"/>
  <c r="O58" i="65"/>
  <c r="T58" i="65"/>
  <c r="E59" i="65"/>
  <c r="J59" i="65"/>
  <c r="O59" i="65"/>
  <c r="T59" i="65"/>
  <c r="E60" i="65"/>
  <c r="J60" i="65"/>
  <c r="O60" i="65"/>
  <c r="T60" i="65"/>
  <c r="E61" i="65"/>
  <c r="J61" i="65"/>
  <c r="O61" i="65"/>
  <c r="T61" i="65"/>
  <c r="E62" i="65"/>
  <c r="J62" i="65"/>
  <c r="O62" i="65"/>
  <c r="T62" i="65"/>
  <c r="E63" i="65"/>
  <c r="J63" i="65"/>
  <c r="O63" i="65"/>
  <c r="T63" i="65"/>
  <c r="E64" i="65"/>
  <c r="T64" i="65"/>
  <c r="E65" i="65"/>
  <c r="J65" i="65"/>
  <c r="O65" i="65"/>
  <c r="T65" i="65"/>
  <c r="E66" i="65"/>
  <c r="J66" i="65"/>
  <c r="O66" i="65"/>
  <c r="T66" i="65"/>
  <c r="E67" i="65"/>
  <c r="J67" i="65"/>
  <c r="O67" i="65"/>
  <c r="T67" i="65"/>
  <c r="E68" i="65"/>
  <c r="O68" i="65"/>
  <c r="T68" i="65"/>
  <c r="E69" i="65"/>
  <c r="J69" i="65"/>
  <c r="O69" i="65"/>
  <c r="T69" i="65"/>
  <c r="O70" i="65"/>
  <c r="T70" i="65"/>
  <c r="E71" i="65"/>
  <c r="J71" i="65"/>
  <c r="O71" i="65"/>
  <c r="T71" i="65"/>
  <c r="E72" i="65"/>
  <c r="J72" i="65"/>
  <c r="O72" i="65"/>
  <c r="T72" i="65"/>
  <c r="E73" i="65"/>
  <c r="E74" i="65"/>
  <c r="J74" i="65"/>
  <c r="O74" i="65"/>
  <c r="T74" i="65"/>
  <c r="E75" i="65"/>
  <c r="J75" i="65"/>
  <c r="O75" i="65"/>
  <c r="T75" i="65"/>
  <c r="W29" i="65" l="1"/>
  <c r="AB27" i="65"/>
  <c r="T25" i="65"/>
  <c r="S29" i="65"/>
  <c r="H78" i="65"/>
  <c r="H79" i="65" s="1"/>
  <c r="X33" i="65"/>
  <c r="Y33" i="65" s="1"/>
  <c r="N25" i="65"/>
  <c r="N29" i="65" s="1"/>
  <c r="T14" i="65"/>
  <c r="J14" i="65"/>
  <c r="I25" i="65"/>
  <c r="I29" i="65" s="1"/>
  <c r="E22" i="65"/>
  <c r="D25" i="65"/>
  <c r="T15" i="65"/>
  <c r="O15" i="65"/>
  <c r="AB82" i="65"/>
  <c r="AC82" i="65" s="1"/>
  <c r="X34" i="65"/>
  <c r="Y34" i="65" s="1"/>
  <c r="X37" i="65"/>
  <c r="Y37" i="65" s="1"/>
  <c r="C78" i="65"/>
  <c r="X27" i="65"/>
  <c r="R78" i="65"/>
  <c r="AA78" i="65"/>
  <c r="M78" i="65"/>
  <c r="Q78" i="65"/>
  <c r="Q79" i="65" s="1"/>
  <c r="Y36" i="65"/>
  <c r="L78" i="65"/>
  <c r="I41" i="65"/>
  <c r="J41" i="65" s="1"/>
  <c r="G78" i="65"/>
  <c r="Y39" i="65"/>
  <c r="W41" i="65"/>
  <c r="W78" i="65" s="1"/>
  <c r="B78" i="65"/>
  <c r="B79" i="65" s="1"/>
  <c r="X82" i="65"/>
  <c r="Y82" i="65" s="1"/>
  <c r="Y50" i="65"/>
  <c r="Y46" i="65"/>
  <c r="Y55" i="65"/>
  <c r="Y48" i="65"/>
  <c r="Y49" i="65"/>
  <c r="Y47" i="65"/>
  <c r="Y45" i="65"/>
  <c r="Y72" i="65"/>
  <c r="Y71" i="65"/>
  <c r="J70" i="65"/>
  <c r="Y70" i="65"/>
  <c r="Y67" i="65"/>
  <c r="Y66" i="65"/>
  <c r="Y65" i="65"/>
  <c r="J64" i="65"/>
  <c r="Y64" i="65"/>
  <c r="N76" i="65"/>
  <c r="O76" i="65" s="1"/>
  <c r="D76" i="65"/>
  <c r="E76" i="65" s="1"/>
  <c r="Y40" i="65"/>
  <c r="O34" i="65"/>
  <c r="N41" i="65"/>
  <c r="E34" i="65"/>
  <c r="D41" i="65"/>
  <c r="T22" i="65"/>
  <c r="Y16" i="65"/>
  <c r="Y75" i="65"/>
  <c r="Y74" i="65"/>
  <c r="J73" i="65"/>
  <c r="Y73" i="65"/>
  <c r="Y69" i="65"/>
  <c r="J68" i="65"/>
  <c r="Y68" i="65"/>
  <c r="Y63" i="65"/>
  <c r="Y62" i="65"/>
  <c r="Y61" i="65"/>
  <c r="Y60" i="65"/>
  <c r="Y59" i="65"/>
  <c r="Y58" i="65"/>
  <c r="Y57" i="65"/>
  <c r="J56" i="65"/>
  <c r="Y56" i="65"/>
  <c r="J53" i="65"/>
  <c r="T44" i="65"/>
  <c r="J44" i="65"/>
  <c r="O17" i="65"/>
  <c r="T38" i="65"/>
  <c r="Y38" i="65"/>
  <c r="T24" i="65"/>
  <c r="Y24" i="65"/>
  <c r="Y21" i="65"/>
  <c r="Y20" i="65"/>
  <c r="Y19" i="65"/>
  <c r="Y18" i="65"/>
  <c r="Y17" i="65"/>
  <c r="AB29" i="65" l="1"/>
  <c r="AC29" i="65" s="1"/>
  <c r="AC27" i="65"/>
  <c r="AA79" i="65"/>
  <c r="AA81" i="65" s="1"/>
  <c r="AA83" i="65" s="1"/>
  <c r="R79" i="65"/>
  <c r="R81" i="65" s="1"/>
  <c r="R83" i="65" s="1"/>
  <c r="M79" i="65"/>
  <c r="L79" i="65"/>
  <c r="G79" i="65"/>
  <c r="G81" i="65" s="1"/>
  <c r="G83" i="65" s="1"/>
  <c r="C79" i="65"/>
  <c r="C81" i="65" s="1"/>
  <c r="C83" i="65" s="1"/>
  <c r="E25" i="65"/>
  <c r="D29" i="65"/>
  <c r="E29" i="65" s="1"/>
  <c r="O25" i="65"/>
  <c r="B81" i="65"/>
  <c r="B83" i="65" s="1"/>
  <c r="J29" i="65"/>
  <c r="J25" i="65"/>
  <c r="O29" i="65"/>
  <c r="Y22" i="65"/>
  <c r="X25" i="65"/>
  <c r="X29" i="65" s="1"/>
  <c r="Y15" i="65"/>
  <c r="AB76" i="65"/>
  <c r="AC76" i="65" s="1"/>
  <c r="D78" i="65"/>
  <c r="S76" i="65"/>
  <c r="T76" i="65" s="1"/>
  <c r="N78" i="65"/>
  <c r="I76" i="65"/>
  <c r="J76" i="65" s="1"/>
  <c r="Y44" i="65"/>
  <c r="X76" i="65"/>
  <c r="Y76" i="65" s="1"/>
  <c r="V41" i="65"/>
  <c r="V78" i="65" s="1"/>
  <c r="V79" i="65" s="1"/>
  <c r="Y35" i="65"/>
  <c r="T17" i="65"/>
  <c r="S41" i="65"/>
  <c r="T35" i="65"/>
  <c r="E44" i="65"/>
  <c r="O44" i="65"/>
  <c r="AB41" i="65"/>
  <c r="Y14" i="65"/>
  <c r="E41" i="65"/>
  <c r="O41" i="65"/>
  <c r="S78" i="65" l="1"/>
  <c r="L81" i="65"/>
  <c r="L83" i="65" s="1"/>
  <c r="M81" i="65"/>
  <c r="M83" i="65" s="1"/>
  <c r="H81" i="65"/>
  <c r="H83" i="65" s="1"/>
  <c r="I83" i="65" s="1"/>
  <c r="AB78" i="65"/>
  <c r="AB79" i="65" s="1"/>
  <c r="AB81" i="65" s="1"/>
  <c r="AB83" i="65" s="1"/>
  <c r="AC83" i="65" s="1"/>
  <c r="O78" i="65"/>
  <c r="N79" i="65"/>
  <c r="N81" i="65" s="1"/>
  <c r="W79" i="65"/>
  <c r="D83" i="65"/>
  <c r="E78" i="65"/>
  <c r="D79" i="65"/>
  <c r="D81" i="65" s="1"/>
  <c r="Y29" i="65"/>
  <c r="Y25" i="65"/>
  <c r="I78" i="65"/>
  <c r="V81" i="65"/>
  <c r="V83" i="65" s="1"/>
  <c r="X41" i="65"/>
  <c r="X78" i="65" s="1"/>
  <c r="X79" i="65" s="1"/>
  <c r="AC41" i="65"/>
  <c r="T41" i="65"/>
  <c r="E83" i="65" l="1"/>
  <c r="N83" i="65"/>
  <c r="O83" i="65" s="1"/>
  <c r="W81" i="65"/>
  <c r="W83" i="65" s="1"/>
  <c r="X83" i="65" s="1"/>
  <c r="K30" i="27"/>
  <c r="K31" i="27"/>
  <c r="S79" i="65"/>
  <c r="S81" i="65" s="1"/>
  <c r="I79" i="65"/>
  <c r="I81" i="65" s="1"/>
  <c r="J83" i="65" s="1"/>
  <c r="T78" i="65"/>
  <c r="AC78" i="65"/>
  <c r="J78" i="65"/>
  <c r="X81" i="65"/>
  <c r="Y41" i="65"/>
  <c r="Y78" i="65"/>
  <c r="Y83" i="65" l="1"/>
  <c r="B20" i="63"/>
  <c r="C20" i="63"/>
  <c r="D20" i="63"/>
  <c r="E20" i="63"/>
  <c r="F20" i="63"/>
  <c r="B30" i="63"/>
  <c r="C30" i="63"/>
  <c r="D30" i="63"/>
  <c r="E30" i="63"/>
  <c r="F30" i="63"/>
  <c r="B39" i="63"/>
  <c r="C39" i="63"/>
  <c r="D39" i="63"/>
  <c r="E39" i="63"/>
  <c r="F39" i="63"/>
  <c r="B57" i="63"/>
  <c r="C57" i="63"/>
  <c r="D57" i="63"/>
  <c r="E57" i="63"/>
  <c r="F57" i="63"/>
  <c r="B63" i="63"/>
  <c r="C63" i="63"/>
  <c r="D63" i="63"/>
  <c r="E63" i="63"/>
  <c r="F63" i="63"/>
  <c r="B70" i="63"/>
  <c r="C70" i="63"/>
  <c r="D13" i="27" l="1"/>
  <c r="D18" i="27"/>
  <c r="D27" i="27"/>
  <c r="D22" i="27"/>
  <c r="D25" i="27"/>
  <c r="D21" i="27"/>
  <c r="D17" i="27"/>
  <c r="B72" i="63"/>
  <c r="D43" i="63"/>
  <c r="F43" i="63"/>
  <c r="D14" i="27" s="1"/>
  <c r="B43" i="63"/>
  <c r="C72" i="63"/>
  <c r="E43" i="63"/>
  <c r="C43" i="63"/>
  <c r="F70" i="63"/>
  <c r="F72" i="63" s="1"/>
  <c r="E70" i="63"/>
  <c r="E72" i="63" s="1"/>
  <c r="D70" i="63"/>
  <c r="D72" i="63" s="1"/>
  <c r="F70" i="44" l="1"/>
  <c r="E70" i="44"/>
  <c r="D70" i="44"/>
  <c r="C70" i="44"/>
  <c r="F63" i="44"/>
  <c r="E63" i="44"/>
  <c r="F57" i="44"/>
  <c r="E57" i="44"/>
  <c r="F39" i="44"/>
  <c r="E39" i="44"/>
  <c r="F30" i="44"/>
  <c r="E30" i="44"/>
  <c r="F20" i="44"/>
  <c r="E20" i="44"/>
  <c r="E72" i="44" l="1"/>
  <c r="C72" i="44"/>
  <c r="B72" i="44"/>
  <c r="D72" i="44"/>
  <c r="F72" i="44"/>
  <c r="F43" i="44"/>
  <c r="E43" i="44"/>
  <c r="L32" i="27"/>
  <c r="C19" i="27" l="1"/>
  <c r="C28" i="27"/>
  <c r="E19" i="27"/>
  <c r="I28" i="27"/>
  <c r="D19" i="27"/>
  <c r="E28" i="27"/>
  <c r="J19" i="27"/>
  <c r="J28" i="27"/>
  <c r="D28" i="27"/>
  <c r="C23" i="27"/>
  <c r="T51" i="59"/>
  <c r="T75" i="59"/>
  <c r="X51" i="46"/>
  <c r="Y51" i="46" s="1"/>
  <c r="X54" i="46"/>
  <c r="Y54" i="46" s="1"/>
  <c r="L70" i="40"/>
  <c r="I63" i="40"/>
  <c r="L63" i="40"/>
  <c r="I57" i="40"/>
  <c r="L57" i="40"/>
  <c r="I39" i="40"/>
  <c r="L39" i="40"/>
  <c r="I30" i="40"/>
  <c r="L30" i="40"/>
  <c r="I20" i="40"/>
  <c r="L20" i="40"/>
  <c r="L43" i="40" l="1"/>
  <c r="L72" i="40"/>
  <c r="L34" i="27"/>
  <c r="I34" i="27"/>
  <c r="I72" i="40"/>
  <c r="V45" i="48" l="1"/>
  <c r="V46" i="48"/>
  <c r="V47" i="48"/>
  <c r="V48" i="48"/>
  <c r="V49" i="48"/>
  <c r="V50" i="48"/>
  <c r="V51" i="48"/>
  <c r="V52" i="48"/>
  <c r="V53" i="48"/>
  <c r="V54" i="48"/>
  <c r="V55" i="48"/>
  <c r="V56" i="48"/>
  <c r="V57" i="48"/>
  <c r="V58" i="48"/>
  <c r="V59" i="48"/>
  <c r="V60" i="48"/>
  <c r="V61" i="48"/>
  <c r="V62" i="48"/>
  <c r="V63" i="48"/>
  <c r="V64" i="48"/>
  <c r="V65" i="48"/>
  <c r="V66" i="48"/>
  <c r="V67" i="48"/>
  <c r="V68" i="48"/>
  <c r="V69" i="48"/>
  <c r="V70" i="48"/>
  <c r="V71" i="48"/>
  <c r="V72" i="48"/>
  <c r="V73" i="48"/>
  <c r="V74" i="48"/>
  <c r="V75" i="48"/>
  <c r="W45" i="48"/>
  <c r="AB45" i="48" s="1"/>
  <c r="AC45" i="48" s="1"/>
  <c r="W46" i="48"/>
  <c r="AB46" i="48" s="1"/>
  <c r="AC46" i="48" s="1"/>
  <c r="W47" i="48"/>
  <c r="AB47" i="48" s="1"/>
  <c r="AC47" i="48" s="1"/>
  <c r="W48" i="48"/>
  <c r="AB48" i="48" s="1"/>
  <c r="AC48" i="48" s="1"/>
  <c r="W49" i="48"/>
  <c r="AB49" i="48" s="1"/>
  <c r="AC49" i="48" s="1"/>
  <c r="W50" i="48"/>
  <c r="AB50" i="48" s="1"/>
  <c r="AC50" i="48" s="1"/>
  <c r="W51" i="48"/>
  <c r="AB51" i="48" s="1"/>
  <c r="AC51" i="48" s="1"/>
  <c r="W52" i="48"/>
  <c r="AB52" i="48" s="1"/>
  <c r="AC52" i="48" s="1"/>
  <c r="W53" i="48"/>
  <c r="AB53" i="48" s="1"/>
  <c r="AC53" i="48" s="1"/>
  <c r="W54" i="48"/>
  <c r="AB54" i="48" s="1"/>
  <c r="AC54" i="48" s="1"/>
  <c r="W55" i="48"/>
  <c r="W56" i="48"/>
  <c r="AB56" i="48" s="1"/>
  <c r="AC56" i="48" s="1"/>
  <c r="W57" i="48"/>
  <c r="AB57" i="48" s="1"/>
  <c r="AC57" i="48" s="1"/>
  <c r="W58" i="48"/>
  <c r="AB58" i="48" s="1"/>
  <c r="AC58" i="48" s="1"/>
  <c r="W59" i="48"/>
  <c r="AB59" i="48" s="1"/>
  <c r="AC59" i="48" s="1"/>
  <c r="W60" i="48"/>
  <c r="AB60" i="48" s="1"/>
  <c r="AC60" i="48" s="1"/>
  <c r="W61" i="48"/>
  <c r="AB61" i="48" s="1"/>
  <c r="AC61" i="48" s="1"/>
  <c r="W62" i="48"/>
  <c r="AB62" i="48" s="1"/>
  <c r="AC62" i="48" s="1"/>
  <c r="W63" i="48"/>
  <c r="AB63" i="48" s="1"/>
  <c r="AC63" i="48" s="1"/>
  <c r="W64" i="48"/>
  <c r="AB64" i="48" s="1"/>
  <c r="AC64" i="48" s="1"/>
  <c r="W65" i="48"/>
  <c r="AB65" i="48" s="1"/>
  <c r="AC65" i="48" s="1"/>
  <c r="W66" i="48"/>
  <c r="AB66" i="48" s="1"/>
  <c r="AC66" i="48" s="1"/>
  <c r="W67" i="48"/>
  <c r="AB67" i="48" s="1"/>
  <c r="AC67" i="48" s="1"/>
  <c r="W68" i="48"/>
  <c r="AB68" i="48" s="1"/>
  <c r="AC68" i="48" s="1"/>
  <c r="W69" i="48"/>
  <c r="AB69" i="48" s="1"/>
  <c r="AC69" i="48" s="1"/>
  <c r="W70" i="48"/>
  <c r="AB70" i="48" s="1"/>
  <c r="AC70" i="48" s="1"/>
  <c r="W71" i="48"/>
  <c r="AB71" i="48" s="1"/>
  <c r="AC71" i="48" s="1"/>
  <c r="W72" i="48"/>
  <c r="AB72" i="48" s="1"/>
  <c r="AC72" i="48" s="1"/>
  <c r="W73" i="48"/>
  <c r="AB73" i="48" s="1"/>
  <c r="AC73" i="48" s="1"/>
  <c r="W74" i="48"/>
  <c r="AB74" i="48" s="1"/>
  <c r="AC74" i="48" s="1"/>
  <c r="W75" i="48"/>
  <c r="AB75" i="48" s="1"/>
  <c r="AC75" i="48" s="1"/>
  <c r="X46" i="53"/>
  <c r="X51" i="53"/>
  <c r="X52" i="53"/>
  <c r="X53" i="53"/>
  <c r="X54" i="53"/>
  <c r="X66" i="53"/>
  <c r="X68" i="53"/>
  <c r="X70" i="53"/>
  <c r="X68" i="48" l="1"/>
  <c r="X67" i="48"/>
  <c r="Y67" i="48" s="1"/>
  <c r="X59" i="48"/>
  <c r="X74" i="48"/>
  <c r="X52" i="48"/>
  <c r="Y52" i="48" s="1"/>
  <c r="X73" i="48"/>
  <c r="Y73" i="48" s="1"/>
  <c r="X65" i="48"/>
  <c r="Y65" i="48" s="1"/>
  <c r="X57" i="48"/>
  <c r="Y57" i="48" s="1"/>
  <c r="X51" i="48"/>
  <c r="X66" i="48"/>
  <c r="Y66" i="48" s="1"/>
  <c r="X58" i="48"/>
  <c r="Y58" i="48" s="1"/>
  <c r="X50" i="48"/>
  <c r="Y50" i="48" s="1"/>
  <c r="X50" i="53"/>
  <c r="Y50" i="53" s="1"/>
  <c r="X59" i="53"/>
  <c r="Y59" i="53" s="1"/>
  <c r="X73" i="53"/>
  <c r="Y73" i="53" s="1"/>
  <c r="X75" i="53"/>
  <c r="Y75" i="53" s="1"/>
  <c r="X57" i="53"/>
  <c r="Y57" i="53" s="1"/>
  <c r="X64" i="53"/>
  <c r="Y64" i="53" s="1"/>
  <c r="X71" i="53"/>
  <c r="Y71" i="53" s="1"/>
  <c r="X55" i="53"/>
  <c r="Y55" i="53" s="1"/>
  <c r="X47" i="53"/>
  <c r="X75" i="48"/>
  <c r="Y75" i="48" s="1"/>
  <c r="X49" i="48"/>
  <c r="Y49" i="48" s="1"/>
  <c r="X72" i="48"/>
  <c r="Y72" i="48" s="1"/>
  <c r="X64" i="48"/>
  <c r="Y64" i="48" s="1"/>
  <c r="X56" i="48"/>
  <c r="Y56" i="48" s="1"/>
  <c r="X48" i="48"/>
  <c r="Y48" i="48" s="1"/>
  <c r="X71" i="48"/>
  <c r="Y71" i="48" s="1"/>
  <c r="X63" i="48"/>
  <c r="Y63" i="48" s="1"/>
  <c r="X55" i="48"/>
  <c r="Y55" i="48" s="1"/>
  <c r="X47" i="48"/>
  <c r="Y47" i="48" s="1"/>
  <c r="X70" i="48"/>
  <c r="Y70" i="48" s="1"/>
  <c r="X62" i="48"/>
  <c r="X54" i="48"/>
  <c r="X46" i="48"/>
  <c r="Y46" i="48" s="1"/>
  <c r="X60" i="48"/>
  <c r="Y60" i="48" s="1"/>
  <c r="X69" i="48"/>
  <c r="Y69" i="48" s="1"/>
  <c r="X61" i="48"/>
  <c r="Y61" i="48" s="1"/>
  <c r="X53" i="48"/>
  <c r="Y53" i="48" s="1"/>
  <c r="X45" i="48"/>
  <c r="Y45" i="48" s="1"/>
  <c r="Y70" i="53"/>
  <c r="Y53" i="53"/>
  <c r="Y52" i="53"/>
  <c r="Y68" i="53"/>
  <c r="Y66" i="53"/>
  <c r="Y46" i="53"/>
  <c r="J23" i="27"/>
  <c r="I23" i="27"/>
  <c r="E23" i="27"/>
  <c r="D23" i="27"/>
  <c r="D15" i="27"/>
  <c r="C15" i="27"/>
  <c r="K32" i="27"/>
  <c r="W82" i="53"/>
  <c r="AB82" i="53" s="1"/>
  <c r="V82" i="53"/>
  <c r="S82" i="53"/>
  <c r="T82" i="53" s="1"/>
  <c r="N82" i="53"/>
  <c r="O82" i="53" s="1"/>
  <c r="I82" i="53"/>
  <c r="J82" i="53" s="1"/>
  <c r="D82" i="53"/>
  <c r="E82" i="53" s="1"/>
  <c r="Y81" i="53"/>
  <c r="T81" i="53"/>
  <c r="O81" i="53"/>
  <c r="J81" i="53"/>
  <c r="E81" i="53"/>
  <c r="S80" i="53"/>
  <c r="N80" i="53"/>
  <c r="I80" i="53"/>
  <c r="D80" i="53"/>
  <c r="Z79" i="53"/>
  <c r="Z81" i="53" s="1"/>
  <c r="U79" i="53"/>
  <c r="U81" i="53" s="1"/>
  <c r="P79" i="53"/>
  <c r="P81" i="53" s="1"/>
  <c r="K79" i="53"/>
  <c r="K81" i="53" s="1"/>
  <c r="F79" i="53"/>
  <c r="F81" i="53" s="1"/>
  <c r="M76" i="53"/>
  <c r="C76" i="53"/>
  <c r="B76" i="53"/>
  <c r="T75" i="53"/>
  <c r="O75" i="53"/>
  <c r="J75" i="53"/>
  <c r="E75" i="53"/>
  <c r="T74" i="53"/>
  <c r="J74" i="53"/>
  <c r="J73" i="53"/>
  <c r="E73" i="53"/>
  <c r="T72" i="53"/>
  <c r="O72" i="53"/>
  <c r="E72" i="53"/>
  <c r="T71" i="53"/>
  <c r="O71" i="53"/>
  <c r="J71" i="53"/>
  <c r="E71" i="53"/>
  <c r="T70" i="53"/>
  <c r="O70" i="53"/>
  <c r="J70" i="53"/>
  <c r="E70" i="53"/>
  <c r="T69" i="53"/>
  <c r="O69" i="53"/>
  <c r="E69" i="53"/>
  <c r="T68" i="53"/>
  <c r="O68" i="53"/>
  <c r="J68" i="53"/>
  <c r="E68" i="53"/>
  <c r="T67" i="53"/>
  <c r="O67" i="53"/>
  <c r="J67" i="53"/>
  <c r="E67" i="53"/>
  <c r="T66" i="53"/>
  <c r="O66" i="53"/>
  <c r="J66" i="53"/>
  <c r="E66" i="53"/>
  <c r="T65" i="53"/>
  <c r="E65" i="53"/>
  <c r="T64" i="53"/>
  <c r="O64" i="53"/>
  <c r="J64" i="53"/>
  <c r="E64" i="53"/>
  <c r="T63" i="53"/>
  <c r="O63" i="53"/>
  <c r="J63" i="53"/>
  <c r="E63" i="53"/>
  <c r="T62" i="53"/>
  <c r="O62" i="53"/>
  <c r="E62" i="53"/>
  <c r="T61" i="53"/>
  <c r="O61" i="53"/>
  <c r="J61" i="53"/>
  <c r="E61" i="53"/>
  <c r="T60" i="53"/>
  <c r="O60" i="53"/>
  <c r="E60" i="53"/>
  <c r="T59" i="53"/>
  <c r="O59" i="53"/>
  <c r="J59" i="53"/>
  <c r="E59" i="53"/>
  <c r="T58" i="53"/>
  <c r="O58" i="53"/>
  <c r="J58" i="53"/>
  <c r="E58" i="53"/>
  <c r="T57" i="53"/>
  <c r="O57" i="53"/>
  <c r="J57" i="53"/>
  <c r="E57" i="53"/>
  <c r="T56" i="53"/>
  <c r="O56" i="53"/>
  <c r="E56" i="53"/>
  <c r="T55" i="53"/>
  <c r="O55" i="53"/>
  <c r="J55" i="53"/>
  <c r="E55" i="53"/>
  <c r="T53" i="53"/>
  <c r="O53" i="53"/>
  <c r="J53" i="53"/>
  <c r="E53" i="53"/>
  <c r="T52" i="53"/>
  <c r="O52" i="53"/>
  <c r="J52" i="53"/>
  <c r="E52" i="53"/>
  <c r="E51" i="53"/>
  <c r="T50" i="53"/>
  <c r="O50" i="53"/>
  <c r="J50" i="53"/>
  <c r="E50" i="53"/>
  <c r="T49" i="53"/>
  <c r="O49" i="53"/>
  <c r="J49" i="53"/>
  <c r="T48" i="53"/>
  <c r="O48" i="53"/>
  <c r="J48" i="53"/>
  <c r="T47" i="53"/>
  <c r="O47" i="53"/>
  <c r="T46" i="53"/>
  <c r="O46" i="53"/>
  <c r="J46" i="53"/>
  <c r="T45" i="53"/>
  <c r="J45" i="53"/>
  <c r="E45" i="53"/>
  <c r="X44" i="53"/>
  <c r="T44" i="53"/>
  <c r="O44" i="53"/>
  <c r="J44" i="53"/>
  <c r="R41" i="53"/>
  <c r="M41" i="53"/>
  <c r="H41" i="53"/>
  <c r="C41" i="53"/>
  <c r="B41" i="53"/>
  <c r="T40" i="53"/>
  <c r="O40" i="53"/>
  <c r="J40" i="53"/>
  <c r="E40" i="53"/>
  <c r="T39" i="53"/>
  <c r="O39" i="53"/>
  <c r="J39" i="53"/>
  <c r="E39" i="53"/>
  <c r="T38" i="53"/>
  <c r="O38" i="53"/>
  <c r="J38" i="53"/>
  <c r="E38" i="53"/>
  <c r="T37" i="53"/>
  <c r="O37" i="53"/>
  <c r="J37" i="53"/>
  <c r="E37" i="53"/>
  <c r="T36" i="53"/>
  <c r="O36" i="53"/>
  <c r="J36" i="53"/>
  <c r="E36" i="53"/>
  <c r="X35" i="53"/>
  <c r="T35" i="53"/>
  <c r="O35" i="53"/>
  <c r="J35" i="53"/>
  <c r="T34" i="53"/>
  <c r="O34" i="53"/>
  <c r="J34" i="53"/>
  <c r="Q41" i="53"/>
  <c r="L41" i="53"/>
  <c r="G41" i="53"/>
  <c r="T28" i="53"/>
  <c r="S27" i="53"/>
  <c r="T27" i="53" s="1"/>
  <c r="N27" i="53"/>
  <c r="I27" i="53"/>
  <c r="J27" i="53" s="1"/>
  <c r="D27" i="53"/>
  <c r="T26" i="53"/>
  <c r="M29" i="53"/>
  <c r="H29" i="53"/>
  <c r="S24" i="53"/>
  <c r="T24" i="53" s="1"/>
  <c r="N24" i="53"/>
  <c r="O24" i="53" s="1"/>
  <c r="I24" i="53"/>
  <c r="J24" i="53" s="1"/>
  <c r="S23" i="53"/>
  <c r="T23" i="53" s="1"/>
  <c r="N23" i="53"/>
  <c r="O23" i="53" s="1"/>
  <c r="I23" i="53"/>
  <c r="J23" i="53" s="1"/>
  <c r="S22" i="53"/>
  <c r="T22" i="53" s="1"/>
  <c r="N22" i="53"/>
  <c r="O22" i="53" s="1"/>
  <c r="I22" i="53"/>
  <c r="J22" i="53" s="1"/>
  <c r="S21" i="53"/>
  <c r="T21" i="53" s="1"/>
  <c r="N21" i="53"/>
  <c r="O21" i="53" s="1"/>
  <c r="I21" i="53"/>
  <c r="J21" i="53" s="1"/>
  <c r="S20" i="53"/>
  <c r="T20" i="53" s="1"/>
  <c r="N20" i="53"/>
  <c r="O20" i="53" s="1"/>
  <c r="I20" i="53"/>
  <c r="J20" i="53" s="1"/>
  <c r="N19" i="53"/>
  <c r="G29" i="53"/>
  <c r="O18" i="53"/>
  <c r="J18" i="53"/>
  <c r="S17" i="53"/>
  <c r="T17" i="53" s="1"/>
  <c r="O17" i="53"/>
  <c r="I17" i="53"/>
  <c r="J17" i="53" s="1"/>
  <c r="S16" i="53"/>
  <c r="T16" i="53" s="1"/>
  <c r="N16" i="53"/>
  <c r="O16" i="53" s="1"/>
  <c r="I16" i="53"/>
  <c r="T15" i="53"/>
  <c r="N15" i="53"/>
  <c r="W82" i="58"/>
  <c r="V82" i="58"/>
  <c r="AA82" i="58" s="1"/>
  <c r="AB82" i="58" s="1"/>
  <c r="AC82" i="58" s="1"/>
  <c r="S82" i="58"/>
  <c r="T82" i="58" s="1"/>
  <c r="N82" i="58"/>
  <c r="O82" i="58" s="1"/>
  <c r="I82" i="58"/>
  <c r="J82" i="58" s="1"/>
  <c r="D82" i="58"/>
  <c r="E82" i="58" s="1"/>
  <c r="AC81" i="58"/>
  <c r="Y81" i="58"/>
  <c r="T81" i="58"/>
  <c r="O81" i="58"/>
  <c r="J81" i="58"/>
  <c r="E81" i="58"/>
  <c r="S80" i="58"/>
  <c r="N80" i="58"/>
  <c r="I80" i="58"/>
  <c r="D80" i="58"/>
  <c r="Z79" i="58"/>
  <c r="Z81" i="58" s="1"/>
  <c r="U79" i="58"/>
  <c r="U81" i="58" s="1"/>
  <c r="P79" i="58"/>
  <c r="P81" i="58" s="1"/>
  <c r="K79" i="58"/>
  <c r="K81" i="58" s="1"/>
  <c r="F79" i="58"/>
  <c r="F81" i="58" s="1"/>
  <c r="R76" i="58"/>
  <c r="Q76" i="58"/>
  <c r="M76" i="58"/>
  <c r="L76" i="58"/>
  <c r="H76" i="58"/>
  <c r="G76" i="58"/>
  <c r="C76" i="58"/>
  <c r="C78" i="58" s="1"/>
  <c r="B76" i="58"/>
  <c r="B78" i="58" s="1"/>
  <c r="T75" i="58"/>
  <c r="O75" i="58"/>
  <c r="J75" i="58"/>
  <c r="E75" i="58"/>
  <c r="AB74" i="58"/>
  <c r="AC74" i="58" s="1"/>
  <c r="T74" i="58"/>
  <c r="O74" i="58"/>
  <c r="J74" i="58"/>
  <c r="E74" i="58"/>
  <c r="AB73" i="58"/>
  <c r="AC73" i="58" s="1"/>
  <c r="J73" i="58"/>
  <c r="E73" i="58"/>
  <c r="T72" i="58"/>
  <c r="O72" i="58"/>
  <c r="J72" i="58"/>
  <c r="E72" i="58"/>
  <c r="T71" i="58"/>
  <c r="O71" i="58"/>
  <c r="J71" i="58"/>
  <c r="E71" i="58"/>
  <c r="AB70" i="58"/>
  <c r="AC70" i="58" s="1"/>
  <c r="T70" i="58"/>
  <c r="O70" i="58"/>
  <c r="J70" i="58"/>
  <c r="E70" i="58"/>
  <c r="AB69" i="58"/>
  <c r="AC69" i="58" s="1"/>
  <c r="T69" i="58"/>
  <c r="O69" i="58"/>
  <c r="J69" i="58"/>
  <c r="E69" i="58"/>
  <c r="T68" i="58"/>
  <c r="O68" i="58"/>
  <c r="J68" i="58"/>
  <c r="E68" i="58"/>
  <c r="AB67" i="58"/>
  <c r="AC67" i="58" s="1"/>
  <c r="T67" i="58"/>
  <c r="O67" i="58"/>
  <c r="J67" i="58"/>
  <c r="E67" i="58"/>
  <c r="AB66" i="58"/>
  <c r="AC66" i="58" s="1"/>
  <c r="T66" i="58"/>
  <c r="O66" i="58"/>
  <c r="J66" i="58"/>
  <c r="E66" i="58"/>
  <c r="AB65" i="58"/>
  <c r="AC65" i="58" s="1"/>
  <c r="T65" i="58"/>
  <c r="O65" i="58"/>
  <c r="J65" i="58"/>
  <c r="E65" i="58"/>
  <c r="AB64" i="58"/>
  <c r="AC64" i="58" s="1"/>
  <c r="T64" i="58"/>
  <c r="O64" i="58"/>
  <c r="J64" i="58"/>
  <c r="E64" i="58"/>
  <c r="AB63" i="58"/>
  <c r="AC63" i="58" s="1"/>
  <c r="T63" i="58"/>
  <c r="O63" i="58"/>
  <c r="J63" i="58"/>
  <c r="E63" i="58"/>
  <c r="T62" i="58"/>
  <c r="O62" i="58"/>
  <c r="J62" i="58"/>
  <c r="E62" i="58"/>
  <c r="T61" i="58"/>
  <c r="O61" i="58"/>
  <c r="J61" i="58"/>
  <c r="E61" i="58"/>
  <c r="AB60" i="58"/>
  <c r="AC60" i="58" s="1"/>
  <c r="T60" i="58"/>
  <c r="O60" i="58"/>
  <c r="J60" i="58"/>
  <c r="E60" i="58"/>
  <c r="AB59" i="58"/>
  <c r="AC59" i="58" s="1"/>
  <c r="T59" i="58"/>
  <c r="O59" i="58"/>
  <c r="J59" i="58"/>
  <c r="E59" i="58"/>
  <c r="AB58" i="58"/>
  <c r="AC58" i="58" s="1"/>
  <c r="T58" i="58"/>
  <c r="O58" i="58"/>
  <c r="J58" i="58"/>
  <c r="E58" i="58"/>
  <c r="T57" i="58"/>
  <c r="O57" i="58"/>
  <c r="J57" i="58"/>
  <c r="E57" i="58"/>
  <c r="AB56" i="58"/>
  <c r="AC56" i="58" s="1"/>
  <c r="T56" i="58"/>
  <c r="O56" i="58"/>
  <c r="J56" i="58"/>
  <c r="E56" i="58"/>
  <c r="AC55" i="58"/>
  <c r="Y55" i="58"/>
  <c r="T55" i="58"/>
  <c r="O55" i="58"/>
  <c r="J55" i="58"/>
  <c r="E55" i="58"/>
  <c r="Y54" i="58"/>
  <c r="T54" i="58"/>
  <c r="O54" i="58"/>
  <c r="E54" i="58"/>
  <c r="T53" i="58"/>
  <c r="O53" i="58"/>
  <c r="J53" i="58"/>
  <c r="E53" i="58"/>
  <c r="AB52" i="58"/>
  <c r="AC52" i="58" s="1"/>
  <c r="T52" i="58"/>
  <c r="O52" i="58"/>
  <c r="J52" i="58"/>
  <c r="E52" i="58"/>
  <c r="Y51" i="58"/>
  <c r="T51" i="58"/>
  <c r="AB50" i="58"/>
  <c r="AC50" i="58" s="1"/>
  <c r="T50" i="58"/>
  <c r="O50" i="58"/>
  <c r="J50" i="58"/>
  <c r="E50" i="58"/>
  <c r="AB49" i="58"/>
  <c r="AC49" i="58" s="1"/>
  <c r="T49" i="58"/>
  <c r="O49" i="58"/>
  <c r="J49" i="58"/>
  <c r="E49" i="58"/>
  <c r="AB48" i="58"/>
  <c r="AC48" i="58" s="1"/>
  <c r="T48" i="58"/>
  <c r="O48" i="58"/>
  <c r="J48" i="58"/>
  <c r="E48" i="58"/>
  <c r="AB47" i="58"/>
  <c r="AC47" i="58" s="1"/>
  <c r="T47" i="58"/>
  <c r="O47" i="58"/>
  <c r="J47" i="58"/>
  <c r="E47" i="58"/>
  <c r="AB46" i="58"/>
  <c r="AC46" i="58" s="1"/>
  <c r="T46" i="58"/>
  <c r="O46" i="58"/>
  <c r="J46" i="58"/>
  <c r="E46" i="58"/>
  <c r="AB45" i="58"/>
  <c r="AC45" i="58" s="1"/>
  <c r="T45" i="58"/>
  <c r="O45" i="58"/>
  <c r="J45" i="58"/>
  <c r="E45" i="58"/>
  <c r="AB44" i="58"/>
  <c r="T44" i="58"/>
  <c r="O44" i="58"/>
  <c r="AA41" i="58"/>
  <c r="AA78" i="58" s="1"/>
  <c r="S41" i="58"/>
  <c r="R41" i="58"/>
  <c r="Q41" i="58"/>
  <c r="M41" i="58"/>
  <c r="L41" i="58"/>
  <c r="H41" i="58"/>
  <c r="G41" i="58"/>
  <c r="AB40" i="58"/>
  <c r="AC40" i="58" s="1"/>
  <c r="T40" i="58"/>
  <c r="O40" i="58"/>
  <c r="J40" i="58"/>
  <c r="AB39" i="58"/>
  <c r="AC39" i="58" s="1"/>
  <c r="Y39" i="58"/>
  <c r="T39" i="58"/>
  <c r="O39" i="58"/>
  <c r="J39" i="58"/>
  <c r="T38" i="58"/>
  <c r="O38" i="58"/>
  <c r="J38" i="58"/>
  <c r="AB37" i="58"/>
  <c r="AC37" i="58" s="1"/>
  <c r="T37" i="58"/>
  <c r="O37" i="58"/>
  <c r="J37" i="58"/>
  <c r="AC36" i="58"/>
  <c r="T36" i="58"/>
  <c r="O36" i="58"/>
  <c r="J36" i="58"/>
  <c r="Y35" i="58"/>
  <c r="T35" i="58"/>
  <c r="O35" i="58"/>
  <c r="J35" i="58"/>
  <c r="AB34" i="58"/>
  <c r="AC34" i="58" s="1"/>
  <c r="Y34" i="58"/>
  <c r="T34" i="58"/>
  <c r="O34" i="58"/>
  <c r="J34" i="58"/>
  <c r="AB33" i="58"/>
  <c r="T33" i="58"/>
  <c r="N41" i="58"/>
  <c r="J33" i="58"/>
  <c r="T28" i="58"/>
  <c r="W27" i="58"/>
  <c r="V27" i="58"/>
  <c r="S27" i="58"/>
  <c r="T27" i="58" s="1"/>
  <c r="N27" i="58"/>
  <c r="O27" i="58" s="1"/>
  <c r="I27" i="58"/>
  <c r="J27" i="58" s="1"/>
  <c r="D27" i="58"/>
  <c r="E27" i="58" s="1"/>
  <c r="T26" i="58"/>
  <c r="AA25" i="58"/>
  <c r="R25" i="58"/>
  <c r="R29" i="58" s="1"/>
  <c r="Q25" i="58"/>
  <c r="Q29" i="58" s="1"/>
  <c r="M25" i="58"/>
  <c r="L25" i="58"/>
  <c r="L29" i="58" s="1"/>
  <c r="H25" i="58"/>
  <c r="H29" i="58" s="1"/>
  <c r="G25" i="58"/>
  <c r="G29" i="58" s="1"/>
  <c r="C29" i="58"/>
  <c r="B29" i="58"/>
  <c r="AB24" i="58"/>
  <c r="Y24" i="58"/>
  <c r="S24" i="58"/>
  <c r="T24" i="58" s="1"/>
  <c r="O24" i="58"/>
  <c r="J24" i="58"/>
  <c r="D24" i="58"/>
  <c r="E24" i="58" s="1"/>
  <c r="AB23" i="58"/>
  <c r="AC23" i="58" s="1"/>
  <c r="X23" i="58"/>
  <c r="S23" i="58"/>
  <c r="T23" i="58" s="1"/>
  <c r="O23" i="58"/>
  <c r="J23" i="58"/>
  <c r="D23" i="58"/>
  <c r="E23" i="58" s="1"/>
  <c r="AB22" i="58"/>
  <c r="AC22" i="58" s="1"/>
  <c r="X22" i="58"/>
  <c r="Y22" i="58" s="1"/>
  <c r="S22" i="58"/>
  <c r="T22" i="58" s="1"/>
  <c r="O22" i="58"/>
  <c r="J22" i="58"/>
  <c r="E22" i="58"/>
  <c r="AB21" i="58"/>
  <c r="AC21" i="58" s="1"/>
  <c r="X21" i="58"/>
  <c r="Y21" i="58" s="1"/>
  <c r="T21" i="58"/>
  <c r="O21" i="58"/>
  <c r="J21" i="58"/>
  <c r="E21" i="58"/>
  <c r="AB20" i="58"/>
  <c r="AC20" i="58" s="1"/>
  <c r="Y20" i="58"/>
  <c r="T20" i="58"/>
  <c r="O20" i="58"/>
  <c r="J20" i="58"/>
  <c r="E20" i="58"/>
  <c r="X18" i="58"/>
  <c r="Y18" i="58" s="1"/>
  <c r="T18" i="58"/>
  <c r="O18" i="58"/>
  <c r="J18" i="58"/>
  <c r="E18" i="58"/>
  <c r="AB17" i="58"/>
  <c r="AC17" i="58" s="1"/>
  <c r="X17" i="58"/>
  <c r="Y17" i="58" s="1"/>
  <c r="S17" i="58"/>
  <c r="T17" i="58" s="1"/>
  <c r="O17" i="58"/>
  <c r="J17" i="58"/>
  <c r="E17" i="58"/>
  <c r="S16" i="58"/>
  <c r="T16" i="58" s="1"/>
  <c r="O16" i="58"/>
  <c r="J16" i="58"/>
  <c r="E16" i="58"/>
  <c r="S15" i="58"/>
  <c r="T15" i="58" s="1"/>
  <c r="O15" i="58"/>
  <c r="I15" i="58"/>
  <c r="D15" i="58"/>
  <c r="AC14" i="58"/>
  <c r="X14" i="58"/>
  <c r="Y14" i="58" s="1"/>
  <c r="S14" i="58"/>
  <c r="T14" i="58" s="1"/>
  <c r="O14" i="58"/>
  <c r="I14" i="58"/>
  <c r="J14" i="58" s="1"/>
  <c r="D14" i="58"/>
  <c r="E14" i="58" s="1"/>
  <c r="E63" i="57"/>
  <c r="D63" i="57"/>
  <c r="C63" i="57"/>
  <c r="E39" i="57"/>
  <c r="E43" i="57" s="1"/>
  <c r="D39" i="57"/>
  <c r="D43" i="57" s="1"/>
  <c r="W82" i="59"/>
  <c r="V82" i="59"/>
  <c r="AA82" i="59" s="1"/>
  <c r="S82" i="59"/>
  <c r="T82" i="59" s="1"/>
  <c r="N82" i="59"/>
  <c r="O82" i="59" s="1"/>
  <c r="I82" i="59"/>
  <c r="J82" i="59" s="1"/>
  <c r="D82" i="59"/>
  <c r="E82" i="59" s="1"/>
  <c r="AC81" i="59"/>
  <c r="Y81" i="59"/>
  <c r="T81" i="59"/>
  <c r="O81" i="59"/>
  <c r="J81" i="59"/>
  <c r="E81" i="59"/>
  <c r="S80" i="59"/>
  <c r="N80" i="59"/>
  <c r="I80" i="59"/>
  <c r="D80" i="59"/>
  <c r="Z79" i="59"/>
  <c r="Z81" i="59" s="1"/>
  <c r="U79" i="59"/>
  <c r="U81" i="59" s="1"/>
  <c r="P79" i="59"/>
  <c r="P81" i="59" s="1"/>
  <c r="K79" i="59"/>
  <c r="K81" i="59" s="1"/>
  <c r="F79" i="59"/>
  <c r="F81" i="59" s="1"/>
  <c r="R76" i="59"/>
  <c r="Q76" i="59"/>
  <c r="M76" i="59"/>
  <c r="L76" i="59"/>
  <c r="H76" i="59"/>
  <c r="G76" i="59"/>
  <c r="C76" i="59"/>
  <c r="B76" i="59"/>
  <c r="AB75" i="59"/>
  <c r="AC75" i="59" s="1"/>
  <c r="O75" i="59"/>
  <c r="J75" i="59"/>
  <c r="E75" i="59"/>
  <c r="T74" i="59"/>
  <c r="O74" i="59"/>
  <c r="J74" i="59"/>
  <c r="E74" i="59"/>
  <c r="T73" i="59"/>
  <c r="O73" i="59"/>
  <c r="J73" i="59"/>
  <c r="E73" i="59"/>
  <c r="J72" i="59"/>
  <c r="E72" i="59"/>
  <c r="T71" i="59"/>
  <c r="O71" i="59"/>
  <c r="J71" i="59"/>
  <c r="E71" i="59"/>
  <c r="T70" i="59"/>
  <c r="O70" i="59"/>
  <c r="J70" i="59"/>
  <c r="E70" i="59"/>
  <c r="Y69" i="59"/>
  <c r="T69" i="59"/>
  <c r="O69" i="59"/>
  <c r="J69" i="59"/>
  <c r="E69" i="59"/>
  <c r="T68" i="59"/>
  <c r="O68" i="59"/>
  <c r="J68" i="59"/>
  <c r="E68" i="59"/>
  <c r="AB67" i="59"/>
  <c r="AC67" i="59" s="1"/>
  <c r="T67" i="59"/>
  <c r="O67" i="59"/>
  <c r="J67" i="59"/>
  <c r="E67" i="59"/>
  <c r="AB66" i="59"/>
  <c r="AC66" i="59" s="1"/>
  <c r="T66" i="59"/>
  <c r="O66" i="59"/>
  <c r="J66" i="59"/>
  <c r="E66" i="59"/>
  <c r="T65" i="59"/>
  <c r="O65" i="59"/>
  <c r="J65" i="59"/>
  <c r="E65" i="59"/>
  <c r="T64" i="59"/>
  <c r="O64" i="59"/>
  <c r="J64" i="59"/>
  <c r="E64" i="59"/>
  <c r="T63" i="59"/>
  <c r="O63" i="59"/>
  <c r="J63" i="59"/>
  <c r="E63" i="59"/>
  <c r="T62" i="59"/>
  <c r="O62" i="59"/>
  <c r="J62" i="59"/>
  <c r="E62" i="59"/>
  <c r="AB61" i="59"/>
  <c r="AC61" i="59" s="1"/>
  <c r="T61" i="59"/>
  <c r="O61" i="59"/>
  <c r="J61" i="59"/>
  <c r="E61" i="59"/>
  <c r="AB60" i="59"/>
  <c r="AC60" i="59" s="1"/>
  <c r="T60" i="59"/>
  <c r="O60" i="59"/>
  <c r="J60" i="59"/>
  <c r="E60" i="59"/>
  <c r="AB59" i="59"/>
  <c r="AC59" i="59" s="1"/>
  <c r="Y59" i="59"/>
  <c r="T59" i="59"/>
  <c r="O59" i="59"/>
  <c r="J59" i="59"/>
  <c r="E59" i="59"/>
  <c r="AB58" i="59"/>
  <c r="AC58" i="59" s="1"/>
  <c r="T58" i="59"/>
  <c r="O58" i="59"/>
  <c r="J58" i="59"/>
  <c r="E58" i="59"/>
  <c r="T57" i="59"/>
  <c r="O57" i="59"/>
  <c r="J57" i="59"/>
  <c r="E57" i="59"/>
  <c r="T56" i="59"/>
  <c r="O56" i="59"/>
  <c r="J56" i="59"/>
  <c r="E56" i="59"/>
  <c r="AB55" i="59"/>
  <c r="AC55" i="59" s="1"/>
  <c r="T55" i="59"/>
  <c r="O55" i="59"/>
  <c r="J55" i="59"/>
  <c r="E55" i="59"/>
  <c r="AC54" i="59"/>
  <c r="Y54" i="59"/>
  <c r="T54" i="59"/>
  <c r="O54" i="59"/>
  <c r="J54" i="59"/>
  <c r="E54" i="59"/>
  <c r="T53" i="59"/>
  <c r="O53" i="59"/>
  <c r="J53" i="59"/>
  <c r="E53" i="59"/>
  <c r="T52" i="59"/>
  <c r="O52" i="59"/>
  <c r="J52" i="59"/>
  <c r="E52" i="59"/>
  <c r="E51" i="59"/>
  <c r="AB50" i="59"/>
  <c r="AC50" i="59" s="1"/>
  <c r="T50" i="59"/>
  <c r="O50" i="59"/>
  <c r="J50" i="59"/>
  <c r="E50" i="59"/>
  <c r="AB49" i="59"/>
  <c r="AC49" i="59" s="1"/>
  <c r="T49" i="59"/>
  <c r="O49" i="59"/>
  <c r="J49" i="59"/>
  <c r="E49" i="59"/>
  <c r="T48" i="59"/>
  <c r="O48" i="59"/>
  <c r="J48" i="59"/>
  <c r="E48" i="59"/>
  <c r="T47" i="59"/>
  <c r="O47" i="59"/>
  <c r="J47" i="59"/>
  <c r="E47" i="59"/>
  <c r="T46" i="59"/>
  <c r="O46" i="59"/>
  <c r="E46" i="59"/>
  <c r="AB45" i="59"/>
  <c r="AC45" i="59" s="1"/>
  <c r="T45" i="59"/>
  <c r="O45" i="59"/>
  <c r="J45" i="59"/>
  <c r="AB44" i="59"/>
  <c r="T44" i="59"/>
  <c r="S76" i="59"/>
  <c r="J44" i="59"/>
  <c r="E44" i="59"/>
  <c r="R41" i="59"/>
  <c r="Q41" i="59"/>
  <c r="M41" i="59"/>
  <c r="L41" i="59"/>
  <c r="H41" i="59"/>
  <c r="G41" i="59"/>
  <c r="C41" i="59"/>
  <c r="B41" i="59"/>
  <c r="T40" i="59"/>
  <c r="O40" i="59"/>
  <c r="J40" i="59"/>
  <c r="E40" i="59"/>
  <c r="T39" i="59"/>
  <c r="O39" i="59"/>
  <c r="J39" i="59"/>
  <c r="E39" i="59"/>
  <c r="T38" i="59"/>
  <c r="O38" i="59"/>
  <c r="J38" i="59"/>
  <c r="E38" i="59"/>
  <c r="T37" i="59"/>
  <c r="O37" i="59"/>
  <c r="J37" i="59"/>
  <c r="E37" i="59"/>
  <c r="AB36" i="59"/>
  <c r="AC36" i="59" s="1"/>
  <c r="T36" i="59"/>
  <c r="O36" i="59"/>
  <c r="J36" i="59"/>
  <c r="E36" i="59"/>
  <c r="T35" i="59"/>
  <c r="O35" i="59"/>
  <c r="J35" i="59"/>
  <c r="E35" i="59"/>
  <c r="X34" i="59"/>
  <c r="T34" i="59"/>
  <c r="O34" i="59"/>
  <c r="J34" i="59"/>
  <c r="E34" i="59"/>
  <c r="AB33" i="59"/>
  <c r="N41" i="59"/>
  <c r="I41" i="59"/>
  <c r="D41" i="59"/>
  <c r="T28" i="59"/>
  <c r="S27" i="59"/>
  <c r="T27" i="59" s="1"/>
  <c r="N27" i="59"/>
  <c r="O27" i="59" s="1"/>
  <c r="I27" i="59"/>
  <c r="J27" i="59" s="1"/>
  <c r="D27" i="59"/>
  <c r="E27" i="59" s="1"/>
  <c r="T26" i="59"/>
  <c r="M25" i="59"/>
  <c r="M29" i="59" s="1"/>
  <c r="L25" i="59"/>
  <c r="T23" i="59"/>
  <c r="O23" i="59"/>
  <c r="I23" i="59"/>
  <c r="J23" i="59" s="1"/>
  <c r="D23" i="59"/>
  <c r="E23" i="59" s="1"/>
  <c r="AB22" i="59"/>
  <c r="AC22" i="59" s="1"/>
  <c r="T22" i="59"/>
  <c r="N22" i="59"/>
  <c r="O22" i="59" s="1"/>
  <c r="I22" i="59"/>
  <c r="J22" i="59" s="1"/>
  <c r="D22" i="59"/>
  <c r="E22" i="59" s="1"/>
  <c r="T21" i="59"/>
  <c r="N21" i="59"/>
  <c r="O21" i="59" s="1"/>
  <c r="I21" i="59"/>
  <c r="J21" i="59" s="1"/>
  <c r="D21" i="59"/>
  <c r="E21" i="59" s="1"/>
  <c r="T20" i="59"/>
  <c r="N20" i="59"/>
  <c r="O20" i="59" s="1"/>
  <c r="I20" i="59"/>
  <c r="J20" i="59" s="1"/>
  <c r="D20" i="59"/>
  <c r="E20" i="59" s="1"/>
  <c r="T19" i="59"/>
  <c r="N19" i="59"/>
  <c r="O19" i="59" s="1"/>
  <c r="I19" i="59"/>
  <c r="J19" i="59" s="1"/>
  <c r="D19" i="59"/>
  <c r="E19" i="59" s="1"/>
  <c r="T18" i="59"/>
  <c r="N18" i="59"/>
  <c r="O18" i="59" s="1"/>
  <c r="I18" i="59"/>
  <c r="J18" i="59" s="1"/>
  <c r="D18" i="59"/>
  <c r="T17" i="59"/>
  <c r="N17" i="59"/>
  <c r="O17" i="59" s="1"/>
  <c r="I17" i="59"/>
  <c r="J17" i="59" s="1"/>
  <c r="D17" i="59"/>
  <c r="E17" i="59" s="1"/>
  <c r="T16" i="59"/>
  <c r="N16" i="59"/>
  <c r="O16" i="59" s="1"/>
  <c r="I16" i="59"/>
  <c r="J16" i="59" s="1"/>
  <c r="D16" i="59"/>
  <c r="N15" i="59"/>
  <c r="O15" i="59" s="1"/>
  <c r="I15" i="59"/>
  <c r="D15" i="59"/>
  <c r="E15" i="59" s="1"/>
  <c r="N14" i="59"/>
  <c r="O14" i="59" s="1"/>
  <c r="D14" i="59"/>
  <c r="F70" i="60"/>
  <c r="E70" i="60"/>
  <c r="D70" i="60"/>
  <c r="C70" i="60"/>
  <c r="B70" i="60"/>
  <c r="F63" i="60"/>
  <c r="E63" i="60"/>
  <c r="D63" i="60"/>
  <c r="C63" i="60"/>
  <c r="F57" i="60"/>
  <c r="E57" i="60"/>
  <c r="D57" i="60"/>
  <c r="C57" i="60"/>
  <c r="E39" i="60"/>
  <c r="D39" i="60"/>
  <c r="F20" i="60"/>
  <c r="E20" i="60"/>
  <c r="D20" i="60"/>
  <c r="C20" i="60"/>
  <c r="B20" i="60"/>
  <c r="B43" i="60" s="1"/>
  <c r="W82" i="48"/>
  <c r="V82" i="48"/>
  <c r="S82" i="48"/>
  <c r="T82" i="48" s="1"/>
  <c r="N82" i="48"/>
  <c r="O82" i="48" s="1"/>
  <c r="I82" i="48"/>
  <c r="J82" i="48" s="1"/>
  <c r="D82" i="48"/>
  <c r="E82" i="48" s="1"/>
  <c r="AC81" i="48"/>
  <c r="Y81" i="48"/>
  <c r="T81" i="48"/>
  <c r="O81" i="48"/>
  <c r="J81" i="48"/>
  <c r="E81" i="48"/>
  <c r="S80" i="48"/>
  <c r="N80" i="48"/>
  <c r="I80" i="48"/>
  <c r="D80" i="48"/>
  <c r="Z79" i="48"/>
  <c r="Z81" i="48" s="1"/>
  <c r="U79" i="48"/>
  <c r="U81" i="48" s="1"/>
  <c r="P79" i="48"/>
  <c r="P81" i="48" s="1"/>
  <c r="K79" i="48"/>
  <c r="K81" i="48" s="1"/>
  <c r="F79" i="48"/>
  <c r="F81" i="48" s="1"/>
  <c r="AA76" i="48"/>
  <c r="R76" i="48"/>
  <c r="Q76" i="48"/>
  <c r="M76" i="48"/>
  <c r="L76" i="48"/>
  <c r="H76" i="48"/>
  <c r="G76" i="48"/>
  <c r="C76" i="48"/>
  <c r="B76" i="48"/>
  <c r="T75" i="48"/>
  <c r="O75" i="48"/>
  <c r="J75" i="48"/>
  <c r="E75" i="48"/>
  <c r="Y74" i="48"/>
  <c r="T74" i="48"/>
  <c r="O74" i="48"/>
  <c r="J74" i="48"/>
  <c r="E74" i="48"/>
  <c r="J73" i="48"/>
  <c r="E73" i="48"/>
  <c r="T72" i="48"/>
  <c r="O72" i="48"/>
  <c r="J72" i="48"/>
  <c r="E72" i="48"/>
  <c r="T71" i="48"/>
  <c r="O71" i="48"/>
  <c r="J71" i="48"/>
  <c r="E71" i="48"/>
  <c r="T70" i="48"/>
  <c r="O70" i="48"/>
  <c r="J70" i="48"/>
  <c r="E70" i="48"/>
  <c r="T69" i="48"/>
  <c r="O69" i="48"/>
  <c r="J69" i="48"/>
  <c r="E69" i="48"/>
  <c r="Y68" i="48"/>
  <c r="T68" i="48"/>
  <c r="O68" i="48"/>
  <c r="J68" i="48"/>
  <c r="E68" i="48"/>
  <c r="T67" i="48"/>
  <c r="O67" i="48"/>
  <c r="J67" i="48"/>
  <c r="E67" i="48"/>
  <c r="T66" i="48"/>
  <c r="O66" i="48"/>
  <c r="J66" i="48"/>
  <c r="E66" i="48"/>
  <c r="T65" i="48"/>
  <c r="O65" i="48"/>
  <c r="J65" i="48"/>
  <c r="E65" i="48"/>
  <c r="T64" i="48"/>
  <c r="O64" i="48"/>
  <c r="J64" i="48"/>
  <c r="E64" i="48"/>
  <c r="T63" i="48"/>
  <c r="O63" i="48"/>
  <c r="J63" i="48"/>
  <c r="E63" i="48"/>
  <c r="Y62" i="48"/>
  <c r="T62" i="48"/>
  <c r="O62" i="48"/>
  <c r="J62" i="48"/>
  <c r="E62" i="48"/>
  <c r="T61" i="48"/>
  <c r="O61" i="48"/>
  <c r="J61" i="48"/>
  <c r="E61" i="48"/>
  <c r="T60" i="48"/>
  <c r="O60" i="48"/>
  <c r="J60" i="48"/>
  <c r="E60" i="48"/>
  <c r="Y59" i="48"/>
  <c r="T59" i="48"/>
  <c r="O59" i="48"/>
  <c r="J59" i="48"/>
  <c r="E59" i="48"/>
  <c r="T58" i="48"/>
  <c r="O58" i="48"/>
  <c r="J58" i="48"/>
  <c r="E58" i="48"/>
  <c r="T57" i="48"/>
  <c r="O57" i="48"/>
  <c r="J57" i="48"/>
  <c r="E57" i="48"/>
  <c r="T56" i="48"/>
  <c r="O56" i="48"/>
  <c r="J56" i="48"/>
  <c r="E56" i="48"/>
  <c r="T55" i="48"/>
  <c r="O55" i="48"/>
  <c r="J55" i="48"/>
  <c r="E55" i="48"/>
  <c r="T53" i="48"/>
  <c r="O53" i="48"/>
  <c r="J53" i="48"/>
  <c r="E53" i="48"/>
  <c r="T52" i="48"/>
  <c r="O52" i="48"/>
  <c r="J52" i="48"/>
  <c r="E52" i="48"/>
  <c r="T51" i="48"/>
  <c r="O51" i="48"/>
  <c r="T50" i="48"/>
  <c r="O50" i="48"/>
  <c r="J50" i="48"/>
  <c r="E50" i="48"/>
  <c r="T49" i="48"/>
  <c r="O49" i="48"/>
  <c r="J49" i="48"/>
  <c r="E49" i="48"/>
  <c r="T48" i="48"/>
  <c r="O48" i="48"/>
  <c r="J48" i="48"/>
  <c r="E48" i="48"/>
  <c r="T47" i="48"/>
  <c r="O47" i="48"/>
  <c r="J47" i="48"/>
  <c r="E47" i="48"/>
  <c r="T46" i="48"/>
  <c r="O46" i="48"/>
  <c r="J46" i="48"/>
  <c r="E46" i="48"/>
  <c r="T45" i="48"/>
  <c r="O45" i="48"/>
  <c r="J45" i="48"/>
  <c r="E45" i="48"/>
  <c r="W44" i="48"/>
  <c r="V44" i="48"/>
  <c r="O44" i="48"/>
  <c r="J44" i="48"/>
  <c r="E44" i="48"/>
  <c r="AA41" i="48"/>
  <c r="R41" i="48"/>
  <c r="Q41" i="48"/>
  <c r="M41" i="48"/>
  <c r="L41" i="48"/>
  <c r="H41" i="48"/>
  <c r="G41" i="48"/>
  <c r="C41" i="48"/>
  <c r="B41" i="48"/>
  <c r="W40" i="48"/>
  <c r="AB40" i="48" s="1"/>
  <c r="V40" i="48"/>
  <c r="T40" i="48"/>
  <c r="O40" i="48"/>
  <c r="J40" i="48"/>
  <c r="E40" i="48"/>
  <c r="W39" i="48"/>
  <c r="AB39" i="48" s="1"/>
  <c r="V39" i="48"/>
  <c r="T39" i="48"/>
  <c r="O39" i="48"/>
  <c r="J39" i="48"/>
  <c r="E39" i="48"/>
  <c r="W38" i="48"/>
  <c r="AB38" i="48" s="1"/>
  <c r="V38" i="48"/>
  <c r="T38" i="48"/>
  <c r="O38" i="48"/>
  <c r="J38" i="48"/>
  <c r="E38" i="48"/>
  <c r="W37" i="48"/>
  <c r="AB37" i="48" s="1"/>
  <c r="V37" i="48"/>
  <c r="T37" i="48"/>
  <c r="O37" i="48"/>
  <c r="J37" i="48"/>
  <c r="E37" i="48"/>
  <c r="W36" i="48"/>
  <c r="AB36" i="48" s="1"/>
  <c r="V36" i="48"/>
  <c r="T36" i="48"/>
  <c r="O36" i="48"/>
  <c r="E36" i="48"/>
  <c r="W35" i="48"/>
  <c r="AB35" i="48" s="1"/>
  <c r="V35" i="48"/>
  <c r="T35" i="48"/>
  <c r="O35" i="48"/>
  <c r="J35" i="48"/>
  <c r="E35" i="48"/>
  <c r="W34" i="48"/>
  <c r="AB34" i="48" s="1"/>
  <c r="V34" i="48"/>
  <c r="T34" i="48"/>
  <c r="O34" i="48"/>
  <c r="J34" i="48"/>
  <c r="E34" i="48"/>
  <c r="W33" i="48"/>
  <c r="AB33" i="48" s="1"/>
  <c r="V33" i="48"/>
  <c r="T33" i="48"/>
  <c r="J33" i="48"/>
  <c r="E33" i="48"/>
  <c r="T28" i="48"/>
  <c r="V27" i="48"/>
  <c r="S27" i="48"/>
  <c r="T27" i="48" s="1"/>
  <c r="N27" i="48"/>
  <c r="O27" i="48" s="1"/>
  <c r="I27" i="48"/>
  <c r="J27" i="48" s="1"/>
  <c r="D27" i="48"/>
  <c r="E27" i="48" s="1"/>
  <c r="T26" i="48"/>
  <c r="AA29" i="48"/>
  <c r="R25" i="48"/>
  <c r="H29" i="48"/>
  <c r="G29" i="48"/>
  <c r="C29" i="48"/>
  <c r="B29" i="48"/>
  <c r="I23" i="48"/>
  <c r="J23" i="48" s="1"/>
  <c r="D23" i="48"/>
  <c r="E23" i="48" s="1"/>
  <c r="I22" i="48"/>
  <c r="J22" i="48" s="1"/>
  <c r="D22" i="48"/>
  <c r="E22" i="48" s="1"/>
  <c r="I21" i="48"/>
  <c r="J21" i="48" s="1"/>
  <c r="D21" i="48"/>
  <c r="E21" i="48" s="1"/>
  <c r="I20" i="48"/>
  <c r="J20" i="48" s="1"/>
  <c r="D20" i="48"/>
  <c r="E20" i="48" s="1"/>
  <c r="W19" i="48"/>
  <c r="V19" i="48"/>
  <c r="I19" i="48"/>
  <c r="J19" i="48" s="1"/>
  <c r="D19" i="48"/>
  <c r="E19" i="48" s="1"/>
  <c r="I18" i="48"/>
  <c r="J18" i="48" s="1"/>
  <c r="D18" i="48"/>
  <c r="E18" i="48" s="1"/>
  <c r="I17" i="48"/>
  <c r="J17" i="48" s="1"/>
  <c r="D17" i="48"/>
  <c r="I16" i="48"/>
  <c r="J16" i="48" s="1"/>
  <c r="D16" i="48"/>
  <c r="E16" i="48" s="1"/>
  <c r="O15" i="48"/>
  <c r="I15" i="48"/>
  <c r="D15" i="48"/>
  <c r="E15" i="48" s="1"/>
  <c r="AB14" i="48"/>
  <c r="S14" i="48"/>
  <c r="T14" i="48" s="1"/>
  <c r="N14" i="48"/>
  <c r="I14" i="48"/>
  <c r="D14" i="48"/>
  <c r="E14" i="48" s="1"/>
  <c r="F70" i="47"/>
  <c r="E70" i="47"/>
  <c r="D70" i="47"/>
  <c r="C70" i="47"/>
  <c r="B70" i="47"/>
  <c r="F63" i="47"/>
  <c r="E63" i="47"/>
  <c r="D63" i="47"/>
  <c r="C63" i="47"/>
  <c r="B63" i="47"/>
  <c r="F57" i="47"/>
  <c r="E57" i="47"/>
  <c r="D57" i="47"/>
  <c r="C57" i="47"/>
  <c r="B57" i="47"/>
  <c r="F39" i="47"/>
  <c r="E39" i="47"/>
  <c r="D39" i="47"/>
  <c r="C39" i="47"/>
  <c r="B39" i="47"/>
  <c r="F30" i="47"/>
  <c r="E30" i="47"/>
  <c r="D30" i="47"/>
  <c r="C30" i="47"/>
  <c r="B30" i="47"/>
  <c r="F20" i="47"/>
  <c r="E20" i="47"/>
  <c r="D20" i="47"/>
  <c r="C20" i="47"/>
  <c r="B20" i="47"/>
  <c r="V82" i="52"/>
  <c r="AA82" i="52" s="1"/>
  <c r="AB82" i="52" s="1"/>
  <c r="AC82" i="52" s="1"/>
  <c r="S82" i="52"/>
  <c r="T82" i="52" s="1"/>
  <c r="N82" i="52"/>
  <c r="O82" i="52" s="1"/>
  <c r="I82" i="52"/>
  <c r="J82" i="52" s="1"/>
  <c r="D82" i="52"/>
  <c r="E82" i="52" s="1"/>
  <c r="AC81" i="52"/>
  <c r="Y81" i="52"/>
  <c r="T81" i="52"/>
  <c r="O81" i="52"/>
  <c r="E81" i="52"/>
  <c r="S80" i="52"/>
  <c r="N80" i="52"/>
  <c r="I80" i="52"/>
  <c r="D80" i="52"/>
  <c r="Z79" i="52"/>
  <c r="Z81" i="52" s="1"/>
  <c r="U79" i="52"/>
  <c r="U81" i="52" s="1"/>
  <c r="P79" i="52"/>
  <c r="P81" i="52" s="1"/>
  <c r="K79" i="52"/>
  <c r="K81" i="52" s="1"/>
  <c r="F79" i="52"/>
  <c r="F81" i="52" s="1"/>
  <c r="T75" i="52"/>
  <c r="O75" i="52"/>
  <c r="J75" i="52"/>
  <c r="E75" i="52"/>
  <c r="T74" i="52"/>
  <c r="O74" i="52"/>
  <c r="J74" i="52"/>
  <c r="E74" i="52"/>
  <c r="J73" i="52"/>
  <c r="E73" i="52"/>
  <c r="T72" i="52"/>
  <c r="O72" i="52"/>
  <c r="J72" i="52"/>
  <c r="E72" i="52"/>
  <c r="T71" i="52"/>
  <c r="O71" i="52"/>
  <c r="J71" i="52"/>
  <c r="E71" i="52"/>
  <c r="T70" i="52"/>
  <c r="O70" i="52"/>
  <c r="J70" i="52"/>
  <c r="E70" i="52"/>
  <c r="T69" i="52"/>
  <c r="O69" i="52"/>
  <c r="J69" i="52"/>
  <c r="E69" i="52"/>
  <c r="X68" i="52"/>
  <c r="T68" i="52"/>
  <c r="O68" i="52"/>
  <c r="J68" i="52"/>
  <c r="E68" i="52"/>
  <c r="X66" i="52"/>
  <c r="T66" i="52"/>
  <c r="O66" i="52"/>
  <c r="J66" i="52"/>
  <c r="E66" i="52"/>
  <c r="J65" i="52"/>
  <c r="X64" i="52"/>
  <c r="T64" i="52"/>
  <c r="O64" i="52"/>
  <c r="J64" i="52"/>
  <c r="E64" i="52"/>
  <c r="X63" i="52"/>
  <c r="T63" i="52"/>
  <c r="O63" i="52"/>
  <c r="J63" i="52"/>
  <c r="E63" i="52"/>
  <c r="T62" i="52"/>
  <c r="T61" i="52"/>
  <c r="O61" i="52"/>
  <c r="J61" i="52"/>
  <c r="E61" i="52"/>
  <c r="T60" i="52"/>
  <c r="O60" i="52"/>
  <c r="J60" i="52"/>
  <c r="E60" i="52"/>
  <c r="T59" i="52"/>
  <c r="O59" i="52"/>
  <c r="J59" i="52"/>
  <c r="E59" i="52"/>
  <c r="T58" i="52"/>
  <c r="O58" i="52"/>
  <c r="J58" i="52"/>
  <c r="E58" i="52"/>
  <c r="T57" i="52"/>
  <c r="T56" i="52"/>
  <c r="T55" i="52"/>
  <c r="O55" i="52"/>
  <c r="J55" i="52"/>
  <c r="E55" i="52"/>
  <c r="Y54" i="52"/>
  <c r="T54" i="52"/>
  <c r="O54" i="52"/>
  <c r="J54" i="52"/>
  <c r="E54" i="52"/>
  <c r="Y51" i="52"/>
  <c r="T48" i="52"/>
  <c r="O48" i="52"/>
  <c r="J48" i="52"/>
  <c r="E48" i="52"/>
  <c r="T46" i="52"/>
  <c r="O46" i="52"/>
  <c r="J46" i="52"/>
  <c r="E46" i="52"/>
  <c r="X45" i="52"/>
  <c r="AA41" i="52"/>
  <c r="AA78" i="52" s="1"/>
  <c r="C41" i="52"/>
  <c r="C78" i="52" s="1"/>
  <c r="B41" i="52"/>
  <c r="B78" i="52" s="1"/>
  <c r="X40" i="52"/>
  <c r="T40" i="52"/>
  <c r="O40" i="52"/>
  <c r="J40" i="52"/>
  <c r="E40" i="52"/>
  <c r="X39" i="52"/>
  <c r="T39" i="52"/>
  <c r="O39" i="52"/>
  <c r="J39" i="52"/>
  <c r="X38" i="52"/>
  <c r="E38" i="52"/>
  <c r="X37" i="52"/>
  <c r="X36" i="52"/>
  <c r="X35" i="52"/>
  <c r="E35" i="52"/>
  <c r="X34" i="52"/>
  <c r="O34" i="52"/>
  <c r="J34" i="52"/>
  <c r="T28" i="52"/>
  <c r="V27" i="52"/>
  <c r="S27" i="52"/>
  <c r="T27" i="52" s="1"/>
  <c r="N27" i="52"/>
  <c r="O27" i="52" s="1"/>
  <c r="I27" i="52"/>
  <c r="J27" i="52" s="1"/>
  <c r="D27" i="52"/>
  <c r="E27" i="52" s="1"/>
  <c r="T26" i="52"/>
  <c r="R25" i="52"/>
  <c r="R29" i="52" s="1"/>
  <c r="Q25" i="52"/>
  <c r="Q29" i="52" s="1"/>
  <c r="M25" i="52"/>
  <c r="L25" i="52"/>
  <c r="H25" i="52"/>
  <c r="H29" i="52" s="1"/>
  <c r="G25" i="52"/>
  <c r="C25" i="52"/>
  <c r="AB24" i="52"/>
  <c r="AC24" i="52" s="1"/>
  <c r="S24" i="52"/>
  <c r="T24" i="52" s="1"/>
  <c r="N24" i="52"/>
  <c r="O24" i="52" s="1"/>
  <c r="I24" i="52"/>
  <c r="J24" i="52" s="1"/>
  <c r="D24" i="52"/>
  <c r="E24" i="52" s="1"/>
  <c r="AC23" i="52"/>
  <c r="S23" i="52"/>
  <c r="T23" i="52" s="1"/>
  <c r="N23" i="52"/>
  <c r="O23" i="52" s="1"/>
  <c r="I23" i="52"/>
  <c r="J23" i="52" s="1"/>
  <c r="D23" i="52"/>
  <c r="E23" i="52" s="1"/>
  <c r="AB22" i="52"/>
  <c r="AC22" i="52" s="1"/>
  <c r="S22" i="52"/>
  <c r="T22" i="52" s="1"/>
  <c r="N22" i="52"/>
  <c r="O22" i="52" s="1"/>
  <c r="I22" i="52"/>
  <c r="J22" i="52" s="1"/>
  <c r="D22" i="52"/>
  <c r="E22" i="52" s="1"/>
  <c r="AB21" i="52"/>
  <c r="AC21" i="52" s="1"/>
  <c r="S21" i="52"/>
  <c r="T21" i="52" s="1"/>
  <c r="N21" i="52"/>
  <c r="O21" i="52" s="1"/>
  <c r="J21" i="52"/>
  <c r="D21" i="52"/>
  <c r="E21" i="52" s="1"/>
  <c r="AB20" i="52"/>
  <c r="AC20" i="52" s="1"/>
  <c r="S20" i="52"/>
  <c r="T20" i="52" s="1"/>
  <c r="N20" i="52"/>
  <c r="O20" i="52" s="1"/>
  <c r="I20" i="52"/>
  <c r="J20" i="52" s="1"/>
  <c r="E20" i="52"/>
  <c r="AB18" i="52"/>
  <c r="AC18" i="52" s="1"/>
  <c r="S18" i="52"/>
  <c r="T18" i="52" s="1"/>
  <c r="N18" i="52"/>
  <c r="O18" i="52" s="1"/>
  <c r="I18" i="52"/>
  <c r="J18" i="52" s="1"/>
  <c r="E18" i="52"/>
  <c r="AB17" i="52"/>
  <c r="AC17" i="52" s="1"/>
  <c r="S17" i="52"/>
  <c r="T17" i="52" s="1"/>
  <c r="N17" i="52"/>
  <c r="O17" i="52" s="1"/>
  <c r="I17" i="52"/>
  <c r="J17" i="52" s="1"/>
  <c r="D17" i="52"/>
  <c r="E17" i="52" s="1"/>
  <c r="AB16" i="52"/>
  <c r="AC16" i="52" s="1"/>
  <c r="S16" i="52"/>
  <c r="T16" i="52" s="1"/>
  <c r="N16" i="52"/>
  <c r="I16" i="52"/>
  <c r="J16" i="52" s="1"/>
  <c r="D16" i="52"/>
  <c r="E16" i="52" s="1"/>
  <c r="AB15" i="52"/>
  <c r="AC15" i="52" s="1"/>
  <c r="S15" i="52"/>
  <c r="T15" i="52" s="1"/>
  <c r="N15" i="52"/>
  <c r="I15" i="52"/>
  <c r="D15" i="52"/>
  <c r="E15" i="52" s="1"/>
  <c r="S14" i="52"/>
  <c r="T14" i="52" s="1"/>
  <c r="N14" i="52"/>
  <c r="I14" i="52"/>
  <c r="F30" i="54"/>
  <c r="E30" i="54"/>
  <c r="D30" i="54"/>
  <c r="C30" i="54"/>
  <c r="B30" i="54"/>
  <c r="W82" i="55"/>
  <c r="V82" i="55"/>
  <c r="AA82" i="55" s="1"/>
  <c r="S82" i="55"/>
  <c r="T82" i="55" s="1"/>
  <c r="N82" i="55"/>
  <c r="O82" i="55" s="1"/>
  <c r="I82" i="55"/>
  <c r="J82" i="55" s="1"/>
  <c r="D82" i="55"/>
  <c r="E82" i="55" s="1"/>
  <c r="S80" i="55"/>
  <c r="N80" i="55"/>
  <c r="I80" i="55"/>
  <c r="D80" i="55"/>
  <c r="Z79" i="55"/>
  <c r="U79" i="55"/>
  <c r="P79" i="55"/>
  <c r="K79" i="55"/>
  <c r="F79" i="55"/>
  <c r="M76" i="55"/>
  <c r="L76" i="55"/>
  <c r="H76" i="55"/>
  <c r="H78" i="55" s="1"/>
  <c r="G76" i="55"/>
  <c r="C76" i="55"/>
  <c r="B76" i="55"/>
  <c r="T75" i="55"/>
  <c r="E75" i="55"/>
  <c r="T74" i="55"/>
  <c r="E74" i="55"/>
  <c r="E73" i="55"/>
  <c r="T72" i="55"/>
  <c r="E72" i="55"/>
  <c r="T71" i="55"/>
  <c r="E71" i="55"/>
  <c r="T70" i="55"/>
  <c r="E70" i="55"/>
  <c r="T69" i="55"/>
  <c r="E69" i="55"/>
  <c r="T68" i="55"/>
  <c r="E68" i="55"/>
  <c r="T67" i="55"/>
  <c r="E67" i="55"/>
  <c r="T66" i="55"/>
  <c r="E66" i="55"/>
  <c r="T65" i="55"/>
  <c r="E65" i="55"/>
  <c r="T64" i="55"/>
  <c r="E64" i="55"/>
  <c r="T63" i="55"/>
  <c r="E63" i="55"/>
  <c r="T62" i="55"/>
  <c r="E62" i="55"/>
  <c r="T61" i="55"/>
  <c r="E61" i="55"/>
  <c r="T60" i="55"/>
  <c r="E60" i="55"/>
  <c r="T59" i="55"/>
  <c r="E59" i="55"/>
  <c r="T58" i="55"/>
  <c r="E58" i="55"/>
  <c r="T57" i="55"/>
  <c r="E57" i="55"/>
  <c r="T56" i="55"/>
  <c r="E56" i="55"/>
  <c r="AC55" i="55"/>
  <c r="T55" i="55"/>
  <c r="E55" i="55"/>
  <c r="T53" i="55"/>
  <c r="E53" i="55"/>
  <c r="T52" i="55"/>
  <c r="E52" i="55"/>
  <c r="T50" i="55"/>
  <c r="E50" i="55"/>
  <c r="T49" i="55"/>
  <c r="E49" i="55"/>
  <c r="T48" i="55"/>
  <c r="E48" i="55"/>
  <c r="T47" i="55"/>
  <c r="E47" i="55"/>
  <c r="T46" i="55"/>
  <c r="E46" i="55"/>
  <c r="T45" i="55"/>
  <c r="E45" i="55"/>
  <c r="S76" i="55"/>
  <c r="T76" i="55" s="1"/>
  <c r="N76" i="55"/>
  <c r="I76" i="55"/>
  <c r="E44" i="55"/>
  <c r="D76" i="55"/>
  <c r="AA41" i="55"/>
  <c r="R41" i="55"/>
  <c r="R78" i="55" s="1"/>
  <c r="Q41" i="55"/>
  <c r="Q78" i="55" s="1"/>
  <c r="Q79" i="55" s="1"/>
  <c r="M41" i="55"/>
  <c r="L41" i="55"/>
  <c r="G41" i="55"/>
  <c r="C41" i="55"/>
  <c r="E41" i="55"/>
  <c r="AB40" i="55"/>
  <c r="AC40" i="55" s="1"/>
  <c r="T40" i="55"/>
  <c r="O40" i="55"/>
  <c r="J40" i="55"/>
  <c r="AB39" i="55"/>
  <c r="AC39" i="55" s="1"/>
  <c r="T39" i="55"/>
  <c r="O39" i="55"/>
  <c r="J39" i="55"/>
  <c r="T38" i="55"/>
  <c r="O38" i="55"/>
  <c r="J38" i="55"/>
  <c r="AB37" i="55"/>
  <c r="AC37" i="55" s="1"/>
  <c r="T37" i="55"/>
  <c r="O37" i="55"/>
  <c r="J37" i="55"/>
  <c r="AB36" i="55"/>
  <c r="AC36" i="55" s="1"/>
  <c r="T36" i="55"/>
  <c r="O36" i="55"/>
  <c r="J36" i="55"/>
  <c r="AB35" i="55"/>
  <c r="AC35" i="55" s="1"/>
  <c r="T35" i="55"/>
  <c r="O35" i="55"/>
  <c r="J35" i="55"/>
  <c r="AB34" i="55"/>
  <c r="AC34" i="55" s="1"/>
  <c r="T34" i="55"/>
  <c r="O34" i="55"/>
  <c r="J34" i="55"/>
  <c r="AC33" i="55"/>
  <c r="V41" i="55"/>
  <c r="J33" i="55"/>
  <c r="N27" i="55"/>
  <c r="O27" i="55" s="1"/>
  <c r="I27" i="55"/>
  <c r="J27" i="55" s="1"/>
  <c r="D27" i="55"/>
  <c r="E27" i="55" s="1"/>
  <c r="T26" i="55"/>
  <c r="M29" i="55"/>
  <c r="B29" i="55"/>
  <c r="AB23" i="55"/>
  <c r="AC23" i="55" s="1"/>
  <c r="T23" i="55"/>
  <c r="N23" i="55"/>
  <c r="O23" i="55" s="1"/>
  <c r="I23" i="55"/>
  <c r="J23" i="55" s="1"/>
  <c r="E23" i="55"/>
  <c r="AB22" i="55"/>
  <c r="AC22" i="55" s="1"/>
  <c r="T22" i="55"/>
  <c r="N22" i="55"/>
  <c r="O22" i="55" s="1"/>
  <c r="I22" i="55"/>
  <c r="J22" i="55" s="1"/>
  <c r="E22" i="55"/>
  <c r="AB21" i="55"/>
  <c r="AC21" i="55" s="1"/>
  <c r="T21" i="55"/>
  <c r="N21" i="55"/>
  <c r="O21" i="55" s="1"/>
  <c r="I21" i="55"/>
  <c r="J21" i="55" s="1"/>
  <c r="E21" i="55"/>
  <c r="AB20" i="55"/>
  <c r="AC20" i="55" s="1"/>
  <c r="T20" i="55"/>
  <c r="N20" i="55"/>
  <c r="O20" i="55" s="1"/>
  <c r="I20" i="55"/>
  <c r="J20" i="55" s="1"/>
  <c r="E20" i="55"/>
  <c r="AB19" i="55"/>
  <c r="AC19" i="55" s="1"/>
  <c r="T19" i="55"/>
  <c r="N19" i="55"/>
  <c r="O19" i="55" s="1"/>
  <c r="J19" i="55"/>
  <c r="E19" i="55"/>
  <c r="AB18" i="55"/>
  <c r="AC18" i="55" s="1"/>
  <c r="T18" i="55"/>
  <c r="N18" i="55"/>
  <c r="O18" i="55" s="1"/>
  <c r="I18" i="55"/>
  <c r="J18" i="55" s="1"/>
  <c r="E18" i="55"/>
  <c r="AB17" i="55"/>
  <c r="AC17" i="55" s="1"/>
  <c r="T17" i="55"/>
  <c r="N17" i="55"/>
  <c r="O17" i="55" s="1"/>
  <c r="I17" i="55"/>
  <c r="J17" i="55" s="1"/>
  <c r="E17" i="55"/>
  <c r="AB16" i="55"/>
  <c r="AC16" i="55" s="1"/>
  <c r="T16" i="55"/>
  <c r="N16" i="55"/>
  <c r="O16" i="55" s="1"/>
  <c r="I16" i="55"/>
  <c r="E16" i="55"/>
  <c r="AB15" i="55"/>
  <c r="AC15" i="55" s="1"/>
  <c r="T15" i="55"/>
  <c r="N15" i="55"/>
  <c r="I15" i="55"/>
  <c r="J15" i="55" s="1"/>
  <c r="E15" i="55"/>
  <c r="N14" i="55"/>
  <c r="I14" i="55"/>
  <c r="E15" i="27"/>
  <c r="W82" i="61"/>
  <c r="V82" i="61"/>
  <c r="AA82" i="61" s="1"/>
  <c r="AB82" i="61" s="1"/>
  <c r="AC82" i="61" s="1"/>
  <c r="S82" i="61"/>
  <c r="T82" i="61" s="1"/>
  <c r="I82" i="61"/>
  <c r="J82" i="61" s="1"/>
  <c r="D82" i="61"/>
  <c r="E82" i="61" s="1"/>
  <c r="I80" i="61"/>
  <c r="D80" i="61"/>
  <c r="Z79" i="61"/>
  <c r="U79" i="61"/>
  <c r="P79" i="61"/>
  <c r="K79" i="61"/>
  <c r="S76" i="61"/>
  <c r="R76" i="61"/>
  <c r="Q76" i="61"/>
  <c r="L76" i="61"/>
  <c r="O76" i="61" s="1"/>
  <c r="H76" i="61"/>
  <c r="C76" i="61"/>
  <c r="Y75" i="61"/>
  <c r="T75" i="61"/>
  <c r="J75" i="61"/>
  <c r="E75" i="61"/>
  <c r="Y74" i="61"/>
  <c r="T74" i="61"/>
  <c r="J74" i="61"/>
  <c r="E74" i="61"/>
  <c r="Y73" i="61"/>
  <c r="J73" i="61"/>
  <c r="E73" i="61"/>
  <c r="Y72" i="61"/>
  <c r="T72" i="61"/>
  <c r="J72" i="61"/>
  <c r="E72" i="61"/>
  <c r="Y71" i="61"/>
  <c r="T71" i="61"/>
  <c r="J71" i="61"/>
  <c r="E71" i="61"/>
  <c r="Y70" i="61"/>
  <c r="T70" i="61"/>
  <c r="J70" i="61"/>
  <c r="E70" i="61"/>
  <c r="Y69" i="61"/>
  <c r="T69" i="61"/>
  <c r="J69" i="61"/>
  <c r="E69" i="61"/>
  <c r="Y68" i="61"/>
  <c r="T68" i="61"/>
  <c r="J68" i="61"/>
  <c r="E68" i="61"/>
  <c r="Y67" i="61"/>
  <c r="T67" i="61"/>
  <c r="J67" i="61"/>
  <c r="E67" i="61"/>
  <c r="Y66" i="61"/>
  <c r="T66" i="61"/>
  <c r="J66" i="61"/>
  <c r="E66" i="61"/>
  <c r="Y65" i="61"/>
  <c r="T65" i="61"/>
  <c r="J65" i="61"/>
  <c r="E65" i="61"/>
  <c r="Y64" i="61"/>
  <c r="T64" i="61"/>
  <c r="J64" i="61"/>
  <c r="E64" i="61"/>
  <c r="Y63" i="61"/>
  <c r="T63" i="61"/>
  <c r="J63" i="61"/>
  <c r="E63" i="61"/>
  <c r="Y62" i="61"/>
  <c r="T62" i="61"/>
  <c r="J62" i="61"/>
  <c r="E62" i="61"/>
  <c r="Y61" i="61"/>
  <c r="T61" i="61"/>
  <c r="J61" i="61"/>
  <c r="E61" i="61"/>
  <c r="Y60" i="61"/>
  <c r="T60" i="61"/>
  <c r="J60" i="61"/>
  <c r="E60" i="61"/>
  <c r="Y59" i="61"/>
  <c r="T59" i="61"/>
  <c r="J59" i="61"/>
  <c r="E59" i="61"/>
  <c r="Y58" i="61"/>
  <c r="T58" i="61"/>
  <c r="J58" i="61"/>
  <c r="E58" i="61"/>
  <c r="Y57" i="61"/>
  <c r="T57" i="61"/>
  <c r="J57" i="61"/>
  <c r="E57" i="61"/>
  <c r="Y56" i="61"/>
  <c r="T56" i="61"/>
  <c r="J56" i="61"/>
  <c r="E56" i="61"/>
  <c r="Y55" i="61"/>
  <c r="T55" i="61"/>
  <c r="J55" i="61"/>
  <c r="E55" i="61"/>
  <c r="Y53" i="61"/>
  <c r="T53" i="61"/>
  <c r="J53" i="61"/>
  <c r="E53" i="61"/>
  <c r="Y52" i="61"/>
  <c r="T52" i="61"/>
  <c r="J52" i="61"/>
  <c r="E52" i="61"/>
  <c r="Y50" i="61"/>
  <c r="T50" i="61"/>
  <c r="O50" i="61"/>
  <c r="J50" i="61"/>
  <c r="E50" i="61"/>
  <c r="Y49" i="61"/>
  <c r="T49" i="61"/>
  <c r="O49" i="61"/>
  <c r="J49" i="61"/>
  <c r="E49" i="61"/>
  <c r="Y48" i="61"/>
  <c r="T48" i="61"/>
  <c r="O48" i="61"/>
  <c r="J48" i="61"/>
  <c r="E48" i="61"/>
  <c r="Y47" i="61"/>
  <c r="T47" i="61"/>
  <c r="O47" i="61"/>
  <c r="J47" i="61"/>
  <c r="E47" i="61"/>
  <c r="Y46" i="61"/>
  <c r="T46" i="61"/>
  <c r="O46" i="61"/>
  <c r="J46" i="61"/>
  <c r="E46" i="61"/>
  <c r="Y45" i="61"/>
  <c r="T45" i="61"/>
  <c r="O45" i="61"/>
  <c r="J45" i="61"/>
  <c r="E45" i="61"/>
  <c r="Y44" i="61"/>
  <c r="T44" i="61"/>
  <c r="O44" i="61"/>
  <c r="AA41" i="61"/>
  <c r="S41" i="61"/>
  <c r="R41" i="61"/>
  <c r="Q41" i="61"/>
  <c r="M41" i="61"/>
  <c r="M78" i="61" s="1"/>
  <c r="L41" i="61"/>
  <c r="C41" i="61"/>
  <c r="B41" i="61"/>
  <c r="B78" i="61" s="1"/>
  <c r="Y40" i="61"/>
  <c r="T40" i="61"/>
  <c r="O40" i="61"/>
  <c r="J40" i="61"/>
  <c r="T39" i="61"/>
  <c r="O39" i="61"/>
  <c r="J39" i="61"/>
  <c r="Y38" i="61"/>
  <c r="T38" i="61"/>
  <c r="O38" i="61"/>
  <c r="J38" i="61"/>
  <c r="T37" i="61"/>
  <c r="O37" i="61"/>
  <c r="J37" i="61"/>
  <c r="Y36" i="61"/>
  <c r="T36" i="61"/>
  <c r="O36" i="61"/>
  <c r="J36" i="61"/>
  <c r="T35" i="61"/>
  <c r="O35" i="61"/>
  <c r="J35" i="61"/>
  <c r="V41" i="61"/>
  <c r="V78" i="61" s="1"/>
  <c r="O34" i="61"/>
  <c r="J34" i="61"/>
  <c r="W41" i="61"/>
  <c r="W78" i="61" s="1"/>
  <c r="N78" i="61"/>
  <c r="T28" i="61"/>
  <c r="W27" i="61"/>
  <c r="V27" i="61"/>
  <c r="S27" i="61"/>
  <c r="T27" i="61" s="1"/>
  <c r="N27" i="61"/>
  <c r="O27" i="61" s="1"/>
  <c r="J27" i="61"/>
  <c r="E27" i="61"/>
  <c r="D27" i="61"/>
  <c r="T26" i="61"/>
  <c r="AA25" i="61"/>
  <c r="R25" i="61"/>
  <c r="Q25" i="61"/>
  <c r="M25" i="61"/>
  <c r="L25" i="61"/>
  <c r="H25" i="61"/>
  <c r="H29" i="61" s="1"/>
  <c r="G25" i="61"/>
  <c r="T24" i="61"/>
  <c r="N24" i="61"/>
  <c r="O24" i="61" s="1"/>
  <c r="I24" i="61"/>
  <c r="J24" i="61" s="1"/>
  <c r="E24" i="61"/>
  <c r="T23" i="61"/>
  <c r="N23" i="61"/>
  <c r="O23" i="61" s="1"/>
  <c r="I23" i="61"/>
  <c r="J23" i="61" s="1"/>
  <c r="E23" i="61"/>
  <c r="T22" i="61"/>
  <c r="N22" i="61"/>
  <c r="O22" i="61" s="1"/>
  <c r="I22" i="61"/>
  <c r="J22" i="61" s="1"/>
  <c r="T21" i="61"/>
  <c r="N21" i="61"/>
  <c r="O21" i="61" s="1"/>
  <c r="I21" i="61"/>
  <c r="J21" i="61" s="1"/>
  <c r="E21" i="61"/>
  <c r="T20" i="61"/>
  <c r="N20" i="61"/>
  <c r="O20" i="61" s="1"/>
  <c r="I20" i="61"/>
  <c r="J20" i="61" s="1"/>
  <c r="E20" i="61"/>
  <c r="T18" i="61"/>
  <c r="N18" i="61"/>
  <c r="O18" i="61" s="1"/>
  <c r="I18" i="61"/>
  <c r="J18" i="61" s="1"/>
  <c r="E18" i="61"/>
  <c r="T17" i="61"/>
  <c r="N17" i="61"/>
  <c r="O17" i="61" s="1"/>
  <c r="I17" i="61"/>
  <c r="J17" i="61" s="1"/>
  <c r="E17" i="61"/>
  <c r="T16" i="61"/>
  <c r="N16" i="61"/>
  <c r="O16" i="61" s="1"/>
  <c r="I16" i="61"/>
  <c r="J16" i="61" s="1"/>
  <c r="V25" i="61"/>
  <c r="T15" i="61"/>
  <c r="N15" i="61"/>
  <c r="O15" i="61" s="1"/>
  <c r="I15" i="61"/>
  <c r="J15" i="61" s="1"/>
  <c r="E15" i="61"/>
  <c r="AC14" i="61"/>
  <c r="W25" i="61"/>
  <c r="T14" i="61"/>
  <c r="O14" i="61"/>
  <c r="I14" i="61"/>
  <c r="E14" i="61"/>
  <c r="AA82" i="45"/>
  <c r="AB82" i="45" s="1"/>
  <c r="AC82" i="45" s="1"/>
  <c r="W82" i="45"/>
  <c r="V82" i="45"/>
  <c r="X82" i="45" s="1"/>
  <c r="Y82" i="45" s="1"/>
  <c r="S82" i="45"/>
  <c r="T82" i="45" s="1"/>
  <c r="N82" i="45"/>
  <c r="O82" i="45" s="1"/>
  <c r="J82" i="45"/>
  <c r="I82" i="45"/>
  <c r="D82" i="45"/>
  <c r="AC81" i="45"/>
  <c r="Z81" i="45"/>
  <c r="Y81" i="45"/>
  <c r="U81" i="45"/>
  <c r="T81" i="45"/>
  <c r="P81" i="45"/>
  <c r="O81" i="45"/>
  <c r="J81" i="45"/>
  <c r="S80" i="45"/>
  <c r="N80" i="45"/>
  <c r="I80" i="45"/>
  <c r="D80" i="45"/>
  <c r="Z79" i="45"/>
  <c r="U79" i="45"/>
  <c r="P79" i="45"/>
  <c r="K79" i="45"/>
  <c r="K81" i="45" s="1"/>
  <c r="F79" i="45"/>
  <c r="F81" i="45" s="1"/>
  <c r="W76" i="45"/>
  <c r="V76" i="45"/>
  <c r="V78" i="45" s="1"/>
  <c r="S76" i="45"/>
  <c r="R76" i="45"/>
  <c r="Q76" i="45"/>
  <c r="M76" i="45"/>
  <c r="L76" i="45"/>
  <c r="C76" i="45"/>
  <c r="B76" i="45"/>
  <c r="AC75" i="45"/>
  <c r="T75" i="45"/>
  <c r="O75" i="45"/>
  <c r="J75" i="45"/>
  <c r="E75" i="45"/>
  <c r="AC74" i="45"/>
  <c r="T74" i="45"/>
  <c r="O74" i="45"/>
  <c r="J74" i="45"/>
  <c r="E74" i="45"/>
  <c r="AC73" i="45"/>
  <c r="J73" i="45"/>
  <c r="E73" i="45"/>
  <c r="AC72" i="45"/>
  <c r="T72" i="45"/>
  <c r="O72" i="45"/>
  <c r="J72" i="45"/>
  <c r="E72" i="45"/>
  <c r="AC71" i="45"/>
  <c r="T71" i="45"/>
  <c r="O71" i="45"/>
  <c r="J71" i="45"/>
  <c r="E71" i="45"/>
  <c r="AC70" i="45"/>
  <c r="T70" i="45"/>
  <c r="O70" i="45"/>
  <c r="J70" i="45"/>
  <c r="E70" i="45"/>
  <c r="AC69" i="45"/>
  <c r="T69" i="45"/>
  <c r="O69" i="45"/>
  <c r="J69" i="45"/>
  <c r="E69" i="45"/>
  <c r="AC68" i="45"/>
  <c r="T68" i="45"/>
  <c r="O68" i="45"/>
  <c r="J68" i="45"/>
  <c r="E68" i="45"/>
  <c r="AC67" i="45"/>
  <c r="T67" i="45"/>
  <c r="O67" i="45"/>
  <c r="J67" i="45"/>
  <c r="E67" i="45"/>
  <c r="AC66" i="45"/>
  <c r="T66" i="45"/>
  <c r="O66" i="45"/>
  <c r="J66" i="45"/>
  <c r="E66" i="45"/>
  <c r="AC65" i="45"/>
  <c r="T65" i="45"/>
  <c r="O65" i="45"/>
  <c r="J65" i="45"/>
  <c r="E65" i="45"/>
  <c r="AC64" i="45"/>
  <c r="T64" i="45"/>
  <c r="O64" i="45"/>
  <c r="J64" i="45"/>
  <c r="E64" i="45"/>
  <c r="AC63" i="45"/>
  <c r="T63" i="45"/>
  <c r="O63" i="45"/>
  <c r="J63" i="45"/>
  <c r="E63" i="45"/>
  <c r="AC62" i="45"/>
  <c r="T62" i="45"/>
  <c r="O62" i="45"/>
  <c r="J62" i="45"/>
  <c r="E62" i="45"/>
  <c r="T61" i="45"/>
  <c r="O61" i="45"/>
  <c r="J61" i="45"/>
  <c r="E61" i="45"/>
  <c r="AC60" i="45"/>
  <c r="T60" i="45"/>
  <c r="O60" i="45"/>
  <c r="J60" i="45"/>
  <c r="E60" i="45"/>
  <c r="AC59" i="45"/>
  <c r="T59" i="45"/>
  <c r="O59" i="45"/>
  <c r="J59" i="45"/>
  <c r="E59" i="45"/>
  <c r="AC58" i="45"/>
  <c r="T58" i="45"/>
  <c r="O58" i="45"/>
  <c r="J58" i="45"/>
  <c r="E58" i="45"/>
  <c r="AC57" i="45"/>
  <c r="T57" i="45"/>
  <c r="O57" i="45"/>
  <c r="J57" i="45"/>
  <c r="E57" i="45"/>
  <c r="AC56" i="45"/>
  <c r="T56" i="45"/>
  <c r="O56" i="45"/>
  <c r="J56" i="45"/>
  <c r="E56" i="45"/>
  <c r="T55" i="45"/>
  <c r="O55" i="45"/>
  <c r="J55" i="45"/>
  <c r="E55" i="45"/>
  <c r="O54" i="45"/>
  <c r="J54" i="45"/>
  <c r="E54" i="45"/>
  <c r="AC53" i="45"/>
  <c r="T53" i="45"/>
  <c r="O53" i="45"/>
  <c r="J53" i="45"/>
  <c r="E53" i="45"/>
  <c r="AC52" i="45"/>
  <c r="T52" i="45"/>
  <c r="O52" i="45"/>
  <c r="J52" i="45"/>
  <c r="E52" i="45"/>
  <c r="E51" i="45"/>
  <c r="AC50" i="45"/>
  <c r="T50" i="45"/>
  <c r="O50" i="45"/>
  <c r="J50" i="45"/>
  <c r="E50" i="45"/>
  <c r="AC49" i="45"/>
  <c r="T49" i="45"/>
  <c r="O49" i="45"/>
  <c r="J49" i="45"/>
  <c r="E49" i="45"/>
  <c r="AC48" i="45"/>
  <c r="T48" i="45"/>
  <c r="O48" i="45"/>
  <c r="J48" i="45"/>
  <c r="E48" i="45"/>
  <c r="AC47" i="45"/>
  <c r="T47" i="45"/>
  <c r="O47" i="45"/>
  <c r="J47" i="45"/>
  <c r="E47" i="45"/>
  <c r="AC46" i="45"/>
  <c r="T46" i="45"/>
  <c r="O46" i="45"/>
  <c r="J46" i="45"/>
  <c r="E46" i="45"/>
  <c r="AC45" i="45"/>
  <c r="T45" i="45"/>
  <c r="O45" i="45"/>
  <c r="J45" i="45"/>
  <c r="T44" i="45"/>
  <c r="O44" i="45"/>
  <c r="E44" i="45"/>
  <c r="S41" i="45"/>
  <c r="R41" i="45"/>
  <c r="Q41" i="45"/>
  <c r="M41" i="45"/>
  <c r="L41" i="45"/>
  <c r="H41" i="45"/>
  <c r="H78" i="45" s="1"/>
  <c r="H79" i="45" s="1"/>
  <c r="G41" i="45"/>
  <c r="G78" i="45" s="1"/>
  <c r="C41" i="45"/>
  <c r="B41" i="45"/>
  <c r="AB40" i="45"/>
  <c r="AC40" i="45" s="1"/>
  <c r="Y40" i="45"/>
  <c r="T40" i="45"/>
  <c r="O40" i="45"/>
  <c r="J40" i="45"/>
  <c r="E40" i="45"/>
  <c r="T39" i="45"/>
  <c r="O39" i="45"/>
  <c r="J39" i="45"/>
  <c r="E39" i="45"/>
  <c r="T38" i="45"/>
  <c r="O38" i="45"/>
  <c r="J38" i="45"/>
  <c r="E38" i="45"/>
  <c r="T37" i="45"/>
  <c r="O37" i="45"/>
  <c r="J37" i="45"/>
  <c r="E37" i="45"/>
  <c r="T36" i="45"/>
  <c r="O36" i="45"/>
  <c r="E36" i="45"/>
  <c r="T35" i="45"/>
  <c r="O35" i="45"/>
  <c r="J35" i="45"/>
  <c r="E35" i="45"/>
  <c r="T34" i="45"/>
  <c r="O34" i="45"/>
  <c r="J34" i="45"/>
  <c r="E34" i="45"/>
  <c r="T33" i="45"/>
  <c r="T28" i="45"/>
  <c r="W27" i="45"/>
  <c r="V27" i="45"/>
  <c r="T27" i="45"/>
  <c r="N27" i="45"/>
  <c r="O27" i="45" s="1"/>
  <c r="I27" i="45"/>
  <c r="J27" i="45" s="1"/>
  <c r="D27" i="45"/>
  <c r="E27" i="45" s="1"/>
  <c r="T26" i="45"/>
  <c r="S25" i="45"/>
  <c r="S29" i="45" s="1"/>
  <c r="R29" i="45"/>
  <c r="Q29" i="45"/>
  <c r="L25" i="45"/>
  <c r="G25" i="45"/>
  <c r="C25" i="45"/>
  <c r="B25" i="45"/>
  <c r="Y24" i="45"/>
  <c r="T24" i="45"/>
  <c r="O24" i="45"/>
  <c r="J24" i="45"/>
  <c r="E24" i="45"/>
  <c r="Y23" i="45"/>
  <c r="T23" i="45"/>
  <c r="O23" i="45"/>
  <c r="J23" i="45"/>
  <c r="E23" i="45"/>
  <c r="Y22" i="45"/>
  <c r="T22" i="45"/>
  <c r="O22" i="45"/>
  <c r="J22" i="45"/>
  <c r="E22" i="45"/>
  <c r="Y21" i="45"/>
  <c r="T21" i="45"/>
  <c r="O21" i="45"/>
  <c r="J21" i="45"/>
  <c r="E21" i="45"/>
  <c r="Y20" i="45"/>
  <c r="T20" i="45"/>
  <c r="J20" i="45"/>
  <c r="E20" i="45"/>
  <c r="Y18" i="45"/>
  <c r="T18" i="45"/>
  <c r="O18" i="45"/>
  <c r="J18" i="45"/>
  <c r="AC17" i="45"/>
  <c r="Y17" i="45"/>
  <c r="T17" i="45"/>
  <c r="O17" i="45"/>
  <c r="J17" i="45"/>
  <c r="E17" i="45"/>
  <c r="T16" i="45"/>
  <c r="O16" i="45"/>
  <c r="J16" i="45"/>
  <c r="E16" i="45"/>
  <c r="T15" i="45"/>
  <c r="O15" i="45"/>
  <c r="J15" i="45"/>
  <c r="E15" i="45"/>
  <c r="W25" i="45"/>
  <c r="T14" i="45"/>
  <c r="N14" i="45"/>
  <c r="O14" i="45" s="1"/>
  <c r="J14" i="45"/>
  <c r="D14" i="45"/>
  <c r="W82" i="46"/>
  <c r="V82" i="46"/>
  <c r="X82" i="46" s="1"/>
  <c r="Y82" i="46" s="1"/>
  <c r="I82" i="46"/>
  <c r="J82" i="46" s="1"/>
  <c r="D82" i="46"/>
  <c r="E82" i="46" s="1"/>
  <c r="AC81" i="46"/>
  <c r="Y81" i="46"/>
  <c r="J81" i="46"/>
  <c r="E81" i="46"/>
  <c r="I80" i="46"/>
  <c r="D80" i="46"/>
  <c r="Z79" i="46"/>
  <c r="Z81" i="46" s="1"/>
  <c r="U79" i="46"/>
  <c r="U81" i="46" s="1"/>
  <c r="K79" i="46"/>
  <c r="K81" i="46" s="1"/>
  <c r="F79" i="46"/>
  <c r="F81" i="46" s="1"/>
  <c r="AB51" i="46"/>
  <c r="AC51" i="46" s="1"/>
  <c r="W23" i="46"/>
  <c r="V23" i="46"/>
  <c r="W22" i="46"/>
  <c r="V22" i="46"/>
  <c r="W21" i="46"/>
  <c r="W18" i="46"/>
  <c r="V18" i="46"/>
  <c r="W17" i="46"/>
  <c r="V17" i="46"/>
  <c r="W16" i="46"/>
  <c r="V16" i="46"/>
  <c r="W15" i="46"/>
  <c r="V15" i="46"/>
  <c r="K70" i="40"/>
  <c r="G70" i="40"/>
  <c r="C70" i="40"/>
  <c r="K63" i="40"/>
  <c r="J63" i="40"/>
  <c r="J72" i="40" s="1"/>
  <c r="G63" i="40"/>
  <c r="E63" i="40"/>
  <c r="D63" i="40"/>
  <c r="C63" i="40"/>
  <c r="K57" i="40"/>
  <c r="G57" i="40"/>
  <c r="E57" i="40"/>
  <c r="D57" i="40"/>
  <c r="C57" i="40"/>
  <c r="I43" i="40"/>
  <c r="G39" i="40"/>
  <c r="C39" i="40"/>
  <c r="G30" i="40"/>
  <c r="K20" i="40"/>
  <c r="I35" i="27" l="1"/>
  <c r="I36" i="27" s="1"/>
  <c r="H13" i="27"/>
  <c r="H18" i="27"/>
  <c r="H19" i="27" s="1"/>
  <c r="H27" i="27"/>
  <c r="H25" i="27"/>
  <c r="H21" i="27"/>
  <c r="H17" i="27"/>
  <c r="G22" i="27"/>
  <c r="G18" i="27"/>
  <c r="G27" i="27"/>
  <c r="G13" i="27"/>
  <c r="G21" i="27"/>
  <c r="G25" i="27"/>
  <c r="G17" i="27"/>
  <c r="E72" i="57"/>
  <c r="AC82" i="53"/>
  <c r="AB83" i="53"/>
  <c r="AC83" i="53" s="1"/>
  <c r="X82" i="48"/>
  <c r="Y82" i="48" s="1"/>
  <c r="AA82" i="46"/>
  <c r="AB82" i="46" s="1"/>
  <c r="AC82" i="46" s="1"/>
  <c r="D34" i="27"/>
  <c r="C72" i="57"/>
  <c r="I19" i="27"/>
  <c r="C43" i="60"/>
  <c r="AA29" i="58"/>
  <c r="AA79" i="58"/>
  <c r="AA81" i="58" s="1"/>
  <c r="AA83" i="58" s="1"/>
  <c r="T76" i="45"/>
  <c r="M78" i="48"/>
  <c r="M79" i="48" s="1"/>
  <c r="M81" i="48" s="1"/>
  <c r="M83" i="48" s="1"/>
  <c r="L78" i="48"/>
  <c r="L79" i="48" s="1"/>
  <c r="L81" i="48" s="1"/>
  <c r="L83" i="48" s="1"/>
  <c r="H78" i="58"/>
  <c r="H79" i="58" s="1"/>
  <c r="H81" i="58" s="1"/>
  <c r="H83" i="58" s="1"/>
  <c r="G78" i="58"/>
  <c r="G79" i="58" s="1"/>
  <c r="G81" i="58" s="1"/>
  <c r="G83" i="58" s="1"/>
  <c r="G29" i="52"/>
  <c r="W79" i="61"/>
  <c r="I15" i="27"/>
  <c r="D43" i="60"/>
  <c r="W76" i="48"/>
  <c r="AB44" i="48"/>
  <c r="AB19" i="48"/>
  <c r="AC19" i="48" s="1"/>
  <c r="X19" i="48"/>
  <c r="Y19" i="48" s="1"/>
  <c r="W41" i="59"/>
  <c r="AB40" i="59"/>
  <c r="AC40" i="59" s="1"/>
  <c r="X40" i="59"/>
  <c r="Y40" i="59" s="1"/>
  <c r="L29" i="59"/>
  <c r="O24" i="59"/>
  <c r="J15" i="59"/>
  <c r="I25" i="59"/>
  <c r="J25" i="59" s="1"/>
  <c r="D25" i="59"/>
  <c r="E25" i="59" s="1"/>
  <c r="L78" i="55"/>
  <c r="O76" i="55"/>
  <c r="N25" i="55"/>
  <c r="N29" i="55" s="1"/>
  <c r="I25" i="55"/>
  <c r="I29" i="55" s="1"/>
  <c r="D25" i="55"/>
  <c r="AA78" i="61"/>
  <c r="AA79" i="61" s="1"/>
  <c r="AA81" i="61" s="1"/>
  <c r="AA83" i="61" s="1"/>
  <c r="M78" i="53"/>
  <c r="M79" i="53" s="1"/>
  <c r="M81" i="53" s="1"/>
  <c r="M83" i="53" s="1"/>
  <c r="O15" i="53"/>
  <c r="N25" i="53"/>
  <c r="O25" i="53" s="1"/>
  <c r="T18" i="53"/>
  <c r="AB17" i="46"/>
  <c r="AC17" i="46" s="1"/>
  <c r="X17" i="46"/>
  <c r="Y17" i="46" s="1"/>
  <c r="AB18" i="46"/>
  <c r="AC18" i="46" s="1"/>
  <c r="X18" i="46"/>
  <c r="Y18" i="46" s="1"/>
  <c r="X23" i="46"/>
  <c r="Y23" i="46" s="1"/>
  <c r="AB23" i="46"/>
  <c r="AC23" i="46" s="1"/>
  <c r="AB16" i="46"/>
  <c r="AC16" i="46" s="1"/>
  <c r="X16" i="46"/>
  <c r="Y16" i="46" s="1"/>
  <c r="X21" i="46"/>
  <c r="Y21" i="46" s="1"/>
  <c r="AB21" i="46"/>
  <c r="AC21" i="46" s="1"/>
  <c r="AB15" i="46"/>
  <c r="AC15" i="46" s="1"/>
  <c r="X15" i="46"/>
  <c r="Y15" i="46" s="1"/>
  <c r="X22" i="46"/>
  <c r="Y22" i="46" s="1"/>
  <c r="AB22" i="46"/>
  <c r="AC22" i="46" s="1"/>
  <c r="R29" i="53"/>
  <c r="Q29" i="53"/>
  <c r="V24" i="46"/>
  <c r="AB82" i="59"/>
  <c r="AC82" i="59" s="1"/>
  <c r="H78" i="59"/>
  <c r="H79" i="59" s="1"/>
  <c r="H81" i="59" s="1"/>
  <c r="H83" i="59" s="1"/>
  <c r="X39" i="48"/>
  <c r="Y39" i="48" s="1"/>
  <c r="X82" i="58"/>
  <c r="Y82" i="58" s="1"/>
  <c r="J41" i="59"/>
  <c r="AA82" i="48"/>
  <c r="AB82" i="48" s="1"/>
  <c r="AC82" i="48" s="1"/>
  <c r="G78" i="48"/>
  <c r="G79" i="48" s="1"/>
  <c r="G81" i="48" s="1"/>
  <c r="G83" i="48" s="1"/>
  <c r="M29" i="52"/>
  <c r="L29" i="52"/>
  <c r="O15" i="52"/>
  <c r="N25" i="52"/>
  <c r="N29" i="52" s="1"/>
  <c r="X37" i="48"/>
  <c r="Y37" i="48" s="1"/>
  <c r="X40" i="48"/>
  <c r="Y40" i="48" s="1"/>
  <c r="R78" i="61"/>
  <c r="R79" i="61" s="1"/>
  <c r="R81" i="61" s="1"/>
  <c r="R83" i="61" s="1"/>
  <c r="AC44" i="45"/>
  <c r="M78" i="58"/>
  <c r="M79" i="58" s="1"/>
  <c r="M81" i="58" s="1"/>
  <c r="M83" i="58" s="1"/>
  <c r="X37" i="59"/>
  <c r="Y37" i="59" s="1"/>
  <c r="X38" i="59"/>
  <c r="Y38" i="59" s="1"/>
  <c r="X33" i="59"/>
  <c r="E43" i="60"/>
  <c r="N25" i="58"/>
  <c r="N29" i="58" s="1"/>
  <c r="O29" i="58" s="1"/>
  <c r="X37" i="53"/>
  <c r="Y37" i="53" s="1"/>
  <c r="X39" i="53"/>
  <c r="Y39" i="53" s="1"/>
  <c r="X34" i="53"/>
  <c r="Y34" i="53" s="1"/>
  <c r="X38" i="53"/>
  <c r="Y38" i="53" s="1"/>
  <c r="X36" i="53"/>
  <c r="Y36" i="53" s="1"/>
  <c r="X40" i="53"/>
  <c r="Y40" i="53" s="1"/>
  <c r="S25" i="58"/>
  <c r="T25" i="58" s="1"/>
  <c r="Q78" i="58"/>
  <c r="Q79" i="58" s="1"/>
  <c r="Q81" i="58" s="1"/>
  <c r="Q83" i="58" s="1"/>
  <c r="B78" i="59"/>
  <c r="B79" i="59" s="1"/>
  <c r="B81" i="59" s="1"/>
  <c r="B83" i="59" s="1"/>
  <c r="X36" i="59"/>
  <c r="Y36" i="59" s="1"/>
  <c r="X35" i="59"/>
  <c r="Y35" i="59" s="1"/>
  <c r="X39" i="59"/>
  <c r="Y39" i="59" s="1"/>
  <c r="X36" i="48"/>
  <c r="Y36" i="48" s="1"/>
  <c r="X35" i="48"/>
  <c r="Y35" i="48" s="1"/>
  <c r="X33" i="48"/>
  <c r="V76" i="48"/>
  <c r="X44" i="48"/>
  <c r="Y44" i="48" s="1"/>
  <c r="X38" i="48"/>
  <c r="Y38" i="48" s="1"/>
  <c r="AC34" i="48"/>
  <c r="X34" i="48"/>
  <c r="Y34" i="48" s="1"/>
  <c r="C29" i="52"/>
  <c r="C79" i="52"/>
  <c r="C81" i="52" s="1"/>
  <c r="C83" i="52" s="1"/>
  <c r="AB46" i="52"/>
  <c r="AC46" i="52" s="1"/>
  <c r="X46" i="52"/>
  <c r="Y46" i="52" s="1"/>
  <c r="AB72" i="52"/>
  <c r="AC72" i="52" s="1"/>
  <c r="X72" i="52"/>
  <c r="Y72" i="52" s="1"/>
  <c r="AB69" i="52"/>
  <c r="AC69" i="52" s="1"/>
  <c r="X69" i="52"/>
  <c r="Y69" i="52" s="1"/>
  <c r="AB59" i="52"/>
  <c r="AC59" i="52" s="1"/>
  <c r="X59" i="52"/>
  <c r="Y59" i="52" s="1"/>
  <c r="AB71" i="52"/>
  <c r="AC71" i="52" s="1"/>
  <c r="X71" i="52"/>
  <c r="Y71" i="52" s="1"/>
  <c r="AB73" i="52"/>
  <c r="AC73" i="52" s="1"/>
  <c r="X73" i="52"/>
  <c r="Y73" i="52" s="1"/>
  <c r="AB61" i="52"/>
  <c r="AC61" i="52" s="1"/>
  <c r="X61" i="52"/>
  <c r="Y61" i="52" s="1"/>
  <c r="AB75" i="52"/>
  <c r="AC75" i="52" s="1"/>
  <c r="X75" i="52"/>
  <c r="Y75" i="52" s="1"/>
  <c r="AB55" i="52"/>
  <c r="AC55" i="52" s="1"/>
  <c r="X55" i="52"/>
  <c r="Y55" i="52" s="1"/>
  <c r="AB60" i="52"/>
  <c r="AC60" i="52" s="1"/>
  <c r="X60" i="52"/>
  <c r="Y60" i="52" s="1"/>
  <c r="AB74" i="52"/>
  <c r="AC74" i="52" s="1"/>
  <c r="X74" i="52"/>
  <c r="Y74" i="52" s="1"/>
  <c r="AB48" i="52"/>
  <c r="AC48" i="52" s="1"/>
  <c r="X48" i="52"/>
  <c r="Y48" i="52" s="1"/>
  <c r="AB58" i="52"/>
  <c r="X58" i="52"/>
  <c r="Y58" i="52" s="1"/>
  <c r="AB70" i="52"/>
  <c r="AC70" i="52" s="1"/>
  <c r="X70" i="52"/>
  <c r="Y70" i="52" s="1"/>
  <c r="C78" i="61"/>
  <c r="C79" i="61" s="1"/>
  <c r="C81" i="61" s="1"/>
  <c r="C83" i="61" s="1"/>
  <c r="S78" i="61"/>
  <c r="S79" i="61" s="1"/>
  <c r="S81" i="61" s="1"/>
  <c r="S83" i="61" s="1"/>
  <c r="R29" i="61"/>
  <c r="M79" i="61"/>
  <c r="M81" i="61" s="1"/>
  <c r="M83" i="61" s="1"/>
  <c r="H81" i="45"/>
  <c r="H83" i="45" s="1"/>
  <c r="B29" i="45"/>
  <c r="Y47" i="53"/>
  <c r="X82" i="53"/>
  <c r="Y82" i="53" s="1"/>
  <c r="AB34" i="52"/>
  <c r="AC34" i="52" s="1"/>
  <c r="AB40" i="52"/>
  <c r="AC40" i="52" s="1"/>
  <c r="AB39" i="52"/>
  <c r="AC39" i="52" s="1"/>
  <c r="L78" i="58"/>
  <c r="L79" i="58" s="1"/>
  <c r="L81" i="58" s="1"/>
  <c r="L83" i="58" s="1"/>
  <c r="I25" i="58"/>
  <c r="J25" i="58" s="1"/>
  <c r="B79" i="58"/>
  <c r="B81" i="58" s="1"/>
  <c r="B83" i="58" s="1"/>
  <c r="C79" i="58"/>
  <c r="C81" i="58" s="1"/>
  <c r="C83" i="58" s="1"/>
  <c r="D25" i="58"/>
  <c r="D29" i="58" s="1"/>
  <c r="E29" i="58" s="1"/>
  <c r="I76" i="58"/>
  <c r="J76" i="58" s="1"/>
  <c r="D76" i="58"/>
  <c r="E76" i="58" s="1"/>
  <c r="M78" i="59"/>
  <c r="M79" i="59" s="1"/>
  <c r="M81" i="59" s="1"/>
  <c r="M83" i="59" s="1"/>
  <c r="L78" i="59"/>
  <c r="L79" i="59" s="1"/>
  <c r="L81" i="59" s="1"/>
  <c r="L83" i="59" s="1"/>
  <c r="I76" i="59"/>
  <c r="J76" i="59" s="1"/>
  <c r="R78" i="48"/>
  <c r="R79" i="48" s="1"/>
  <c r="Q78" i="48"/>
  <c r="Q79" i="48" s="1"/>
  <c r="Q81" i="48" s="1"/>
  <c r="Q83" i="48" s="1"/>
  <c r="J76" i="55"/>
  <c r="O44" i="55"/>
  <c r="X82" i="55"/>
  <c r="Y82" i="55" s="1"/>
  <c r="AB82" i="55"/>
  <c r="AC82" i="55" s="1"/>
  <c r="B78" i="55"/>
  <c r="B79" i="55" s="1"/>
  <c r="M78" i="55"/>
  <c r="M79" i="55" s="1"/>
  <c r="M81" i="55" s="1"/>
  <c r="M83" i="55" s="1"/>
  <c r="X27" i="45"/>
  <c r="W29" i="45"/>
  <c r="R78" i="59"/>
  <c r="R79" i="59" s="1"/>
  <c r="R81" i="59" s="1"/>
  <c r="R83" i="59" s="1"/>
  <c r="Q78" i="59"/>
  <c r="Q79" i="59" s="1"/>
  <c r="Q81" i="59" s="1"/>
  <c r="Q83" i="59" s="1"/>
  <c r="T76" i="59"/>
  <c r="AC36" i="48"/>
  <c r="R29" i="48"/>
  <c r="AC38" i="48"/>
  <c r="O41" i="48"/>
  <c r="S76" i="48"/>
  <c r="T76" i="48" s="1"/>
  <c r="H78" i="48"/>
  <c r="H79" i="48" s="1"/>
  <c r="H81" i="48" s="1"/>
  <c r="H83" i="48" s="1"/>
  <c r="B78" i="48"/>
  <c r="B79" i="48" s="1"/>
  <c r="B81" i="48" s="1"/>
  <c r="B83" i="48" s="1"/>
  <c r="C78" i="48"/>
  <c r="C79" i="48" s="1"/>
  <c r="C81" i="48" s="1"/>
  <c r="C83" i="48" s="1"/>
  <c r="X27" i="48"/>
  <c r="AC35" i="48"/>
  <c r="I41" i="48"/>
  <c r="J41" i="48" s="1"/>
  <c r="AC39" i="48"/>
  <c r="AC40" i="48"/>
  <c r="AC37" i="48"/>
  <c r="I25" i="48"/>
  <c r="I29" i="48" s="1"/>
  <c r="J29" i="48" s="1"/>
  <c r="C72" i="40"/>
  <c r="D41" i="53"/>
  <c r="E41" i="53" s="1"/>
  <c r="S76" i="58"/>
  <c r="T76" i="58" s="1"/>
  <c r="R78" i="58"/>
  <c r="R79" i="58" s="1"/>
  <c r="R81" i="58" s="1"/>
  <c r="R83" i="58" s="1"/>
  <c r="Y49" i="58"/>
  <c r="Y57" i="58"/>
  <c r="T41" i="58"/>
  <c r="Y36" i="58"/>
  <c r="X16" i="58"/>
  <c r="Y16" i="58" s="1"/>
  <c r="Y61" i="58"/>
  <c r="Y62" i="58"/>
  <c r="AB57" i="58"/>
  <c r="AC57" i="58" s="1"/>
  <c r="N76" i="58"/>
  <c r="O76" i="58" s="1"/>
  <c r="Y71" i="58"/>
  <c r="V76" i="58"/>
  <c r="Y75" i="58"/>
  <c r="Y45" i="58"/>
  <c r="Y53" i="58"/>
  <c r="Y72" i="58"/>
  <c r="J44" i="58"/>
  <c r="Y63" i="58"/>
  <c r="Y67" i="58"/>
  <c r="AB71" i="58"/>
  <c r="AC71" i="58" s="1"/>
  <c r="AB53" i="58"/>
  <c r="AC53" i="58" s="1"/>
  <c r="AB75" i="58"/>
  <c r="AC75" i="58" s="1"/>
  <c r="AB62" i="58"/>
  <c r="AC62" i="58" s="1"/>
  <c r="Y68" i="58"/>
  <c r="AB72" i="58"/>
  <c r="AC72" i="58" s="1"/>
  <c r="Y58" i="58"/>
  <c r="Y46" i="58"/>
  <c r="Y50" i="58"/>
  <c r="AB68" i="58"/>
  <c r="AC68" i="58" s="1"/>
  <c r="Y74" i="58"/>
  <c r="AC44" i="58"/>
  <c r="E44" i="58"/>
  <c r="Y48" i="58"/>
  <c r="Y52" i="58"/>
  <c r="Y60" i="58"/>
  <c r="Y66" i="58"/>
  <c r="Y70" i="58"/>
  <c r="Y73" i="58"/>
  <c r="Y56" i="58"/>
  <c r="AB61" i="58"/>
  <c r="AC61" i="58" s="1"/>
  <c r="Y65" i="58"/>
  <c r="W76" i="58"/>
  <c r="Y47" i="58"/>
  <c r="Y59" i="58"/>
  <c r="Y64" i="58"/>
  <c r="Y69" i="58"/>
  <c r="O41" i="58"/>
  <c r="O33" i="58"/>
  <c r="I41" i="58"/>
  <c r="J41" i="58" s="1"/>
  <c r="AB35" i="58"/>
  <c r="AC35" i="58" s="1"/>
  <c r="V41" i="58"/>
  <c r="Y38" i="58"/>
  <c r="Y33" i="58"/>
  <c r="AC33" i="58"/>
  <c r="W41" i="58"/>
  <c r="D41" i="58"/>
  <c r="E41" i="58" s="1"/>
  <c r="Y37" i="58"/>
  <c r="AB38" i="58"/>
  <c r="AC38" i="58" s="1"/>
  <c r="Y40" i="58"/>
  <c r="M29" i="58"/>
  <c r="J15" i="58"/>
  <c r="AB16" i="58"/>
  <c r="AC16" i="58" s="1"/>
  <c r="V25" i="58"/>
  <c r="X15" i="58"/>
  <c r="Y15" i="58" s="1"/>
  <c r="W25" i="58"/>
  <c r="S41" i="59"/>
  <c r="S78" i="59" s="1"/>
  <c r="S79" i="59" s="1"/>
  <c r="N76" i="59"/>
  <c r="O76" i="59" s="1"/>
  <c r="Y70" i="59"/>
  <c r="Y53" i="59"/>
  <c r="Y57" i="59"/>
  <c r="Y65" i="59"/>
  <c r="Y63" i="59"/>
  <c r="AB65" i="59"/>
  <c r="AC65" i="59" s="1"/>
  <c r="AB72" i="59"/>
  <c r="AC72" i="59" s="1"/>
  <c r="G78" i="59"/>
  <c r="G79" i="59" s="1"/>
  <c r="G81" i="59" s="1"/>
  <c r="G83" i="59" s="1"/>
  <c r="Y52" i="59"/>
  <c r="Y48" i="59"/>
  <c r="Y47" i="59"/>
  <c r="AB48" i="59"/>
  <c r="AC48" i="59" s="1"/>
  <c r="AB53" i="59"/>
  <c r="AC53" i="59" s="1"/>
  <c r="Y64" i="59"/>
  <c r="AB47" i="59"/>
  <c r="AC47" i="59" s="1"/>
  <c r="Y72" i="59"/>
  <c r="Y71" i="59"/>
  <c r="AB68" i="59"/>
  <c r="AC68" i="59" s="1"/>
  <c r="AB69" i="59"/>
  <c r="AC69" i="59" s="1"/>
  <c r="AB70" i="59"/>
  <c r="AC70" i="59" s="1"/>
  <c r="AB71" i="59"/>
  <c r="AC71" i="59" s="1"/>
  <c r="AB73" i="59"/>
  <c r="AC73" i="59" s="1"/>
  <c r="C78" i="59"/>
  <c r="C79" i="59" s="1"/>
  <c r="C81" i="59" s="1"/>
  <c r="C83" i="59" s="1"/>
  <c r="AA76" i="59"/>
  <c r="Y46" i="59"/>
  <c r="Y56" i="59"/>
  <c r="D76" i="59"/>
  <c r="E76" i="59" s="1"/>
  <c r="AB46" i="59"/>
  <c r="AC46" i="59" s="1"/>
  <c r="AB56" i="59"/>
  <c r="AC56" i="59" s="1"/>
  <c r="Y58" i="59"/>
  <c r="Y62" i="59"/>
  <c r="E45" i="59"/>
  <c r="AB57" i="59"/>
  <c r="AC57" i="59" s="1"/>
  <c r="AB62" i="59"/>
  <c r="AC62" i="59" s="1"/>
  <c r="Y68" i="59"/>
  <c r="Y73" i="59"/>
  <c r="AB63" i="59"/>
  <c r="AC63" i="59" s="1"/>
  <c r="AB52" i="59"/>
  <c r="AC52" i="59" s="1"/>
  <c r="AB64" i="59"/>
  <c r="AC64" i="59" s="1"/>
  <c r="Y74" i="59"/>
  <c r="AB54" i="46"/>
  <c r="AC54" i="46" s="1"/>
  <c r="AB74" i="59"/>
  <c r="AC74" i="59" s="1"/>
  <c r="O33" i="59"/>
  <c r="J33" i="59"/>
  <c r="AC33" i="59"/>
  <c r="AB38" i="59"/>
  <c r="AC38" i="59" s="1"/>
  <c r="AB37" i="59"/>
  <c r="AC37" i="59" s="1"/>
  <c r="AB39" i="59"/>
  <c r="AC39" i="59" s="1"/>
  <c r="AA41" i="59"/>
  <c r="AA78" i="59" s="1"/>
  <c r="AB34" i="59"/>
  <c r="AC34" i="59" s="1"/>
  <c r="Y34" i="59"/>
  <c r="Y17" i="59"/>
  <c r="Y19" i="59"/>
  <c r="Y16" i="59"/>
  <c r="Y21" i="59"/>
  <c r="AB20" i="59"/>
  <c r="AC20" i="59" s="1"/>
  <c r="AB21" i="59"/>
  <c r="AC21" i="59" s="1"/>
  <c r="Y23" i="59"/>
  <c r="AB19" i="59"/>
  <c r="AC19" i="59" s="1"/>
  <c r="Y20" i="59"/>
  <c r="G29" i="59"/>
  <c r="H29" i="59"/>
  <c r="W29" i="59"/>
  <c r="AB17" i="59"/>
  <c r="AC17" i="59" s="1"/>
  <c r="V29" i="59"/>
  <c r="AA29" i="59"/>
  <c r="AB15" i="59"/>
  <c r="AC15" i="59" s="1"/>
  <c r="AA78" i="48"/>
  <c r="AA79" i="48" s="1"/>
  <c r="AA81" i="48" s="1"/>
  <c r="N76" i="48"/>
  <c r="O76" i="48" s="1"/>
  <c r="I76" i="48"/>
  <c r="J76" i="48" s="1"/>
  <c r="D76" i="48"/>
  <c r="E76" i="48" s="1"/>
  <c r="O33" i="48"/>
  <c r="J36" i="48"/>
  <c r="D41" i="48"/>
  <c r="V41" i="48"/>
  <c r="L29" i="48"/>
  <c r="M29" i="48"/>
  <c r="N25" i="48"/>
  <c r="O25" i="48" s="1"/>
  <c r="O14" i="48"/>
  <c r="J14" i="48"/>
  <c r="X14" i="48"/>
  <c r="Y14" i="48" s="1"/>
  <c r="D25" i="48"/>
  <c r="T44" i="48"/>
  <c r="AC33" i="48"/>
  <c r="W41" i="48"/>
  <c r="S41" i="48"/>
  <c r="Y15" i="48"/>
  <c r="V25" i="48"/>
  <c r="V29" i="48" s="1"/>
  <c r="Q29" i="48"/>
  <c r="AC15" i="48"/>
  <c r="S25" i="48"/>
  <c r="AC14" i="48"/>
  <c r="W25" i="48"/>
  <c r="W29" i="48" s="1"/>
  <c r="AB29" i="48" s="1"/>
  <c r="AC29" i="48" s="1"/>
  <c r="B72" i="47"/>
  <c r="D72" i="47"/>
  <c r="F72" i="47"/>
  <c r="C72" i="47"/>
  <c r="E72" i="47"/>
  <c r="I25" i="52"/>
  <c r="I29" i="52" s="1"/>
  <c r="G78" i="55"/>
  <c r="G79" i="55" s="1"/>
  <c r="G81" i="55" s="1"/>
  <c r="G83" i="55" s="1"/>
  <c r="C78" i="55"/>
  <c r="C79" i="55" s="1"/>
  <c r="C81" i="55" s="1"/>
  <c r="C83" i="55" s="1"/>
  <c r="N41" i="55"/>
  <c r="O41" i="55" s="1"/>
  <c r="Y76" i="45"/>
  <c r="AC61" i="45"/>
  <c r="R78" i="45"/>
  <c r="R79" i="45" s="1"/>
  <c r="R81" i="45" s="1"/>
  <c r="R83" i="45" s="1"/>
  <c r="N41" i="45"/>
  <c r="O41" i="45" s="1"/>
  <c r="O33" i="45"/>
  <c r="I76" i="45"/>
  <c r="J76" i="45" s="1"/>
  <c r="I76" i="61"/>
  <c r="J76" i="61" s="1"/>
  <c r="I41" i="55"/>
  <c r="O14" i="55"/>
  <c r="D25" i="45"/>
  <c r="E25" i="45" s="1"/>
  <c r="D41" i="45"/>
  <c r="E41" i="45" s="1"/>
  <c r="B78" i="45"/>
  <c r="B79" i="45" s="1"/>
  <c r="C78" i="45"/>
  <c r="C79" i="45" s="1"/>
  <c r="C81" i="45" s="1"/>
  <c r="C83" i="45" s="1"/>
  <c r="D76" i="45"/>
  <c r="E76" i="45" s="1"/>
  <c r="J44" i="45"/>
  <c r="I41" i="45"/>
  <c r="G79" i="45"/>
  <c r="G81" i="45" s="1"/>
  <c r="G83" i="45" s="1"/>
  <c r="M78" i="45"/>
  <c r="M79" i="45" s="1"/>
  <c r="M81" i="45" s="1"/>
  <c r="M83" i="45" s="1"/>
  <c r="N76" i="45"/>
  <c r="O76" i="45" s="1"/>
  <c r="L78" i="45"/>
  <c r="L79" i="45" s="1"/>
  <c r="L81" i="45" s="1"/>
  <c r="L83" i="45" s="1"/>
  <c r="N25" i="45"/>
  <c r="O25" i="45" s="1"/>
  <c r="G29" i="45"/>
  <c r="C29" i="45"/>
  <c r="I25" i="45"/>
  <c r="H29" i="45"/>
  <c r="O20" i="45"/>
  <c r="L29" i="45"/>
  <c r="M29" i="45"/>
  <c r="X27" i="52"/>
  <c r="S25" i="52"/>
  <c r="S29" i="52" s="1"/>
  <c r="T29" i="52" s="1"/>
  <c r="AA79" i="52"/>
  <c r="AA29" i="52"/>
  <c r="X82" i="52"/>
  <c r="Y82" i="52" s="1"/>
  <c r="D41" i="52"/>
  <c r="J14" i="52"/>
  <c r="O14" i="52"/>
  <c r="E33" i="52"/>
  <c r="AB25" i="52"/>
  <c r="AC14" i="52"/>
  <c r="AB29" i="52"/>
  <c r="AC29" i="52" s="1"/>
  <c r="Y15" i="52"/>
  <c r="Y16" i="52"/>
  <c r="Y17" i="52"/>
  <c r="Y18" i="52"/>
  <c r="Y20" i="52"/>
  <c r="Y21" i="52"/>
  <c r="Y22" i="52"/>
  <c r="Y23" i="52"/>
  <c r="Y24" i="52"/>
  <c r="X27" i="61"/>
  <c r="V27" i="46"/>
  <c r="I25" i="61"/>
  <c r="J25" i="61" s="1"/>
  <c r="T76" i="61"/>
  <c r="AB25" i="61"/>
  <c r="AC25" i="61" s="1"/>
  <c r="I41" i="61"/>
  <c r="B79" i="61"/>
  <c r="B81" i="61" s="1"/>
  <c r="B83" i="61" s="1"/>
  <c r="G78" i="61"/>
  <c r="G79" i="61" s="1"/>
  <c r="G81" i="61" s="1"/>
  <c r="G83" i="61" s="1"/>
  <c r="L78" i="61"/>
  <c r="Q78" i="61"/>
  <c r="E76" i="61"/>
  <c r="N25" i="61"/>
  <c r="N29" i="61" s="1"/>
  <c r="AA29" i="61"/>
  <c r="J33" i="61"/>
  <c r="O33" i="61"/>
  <c r="X82" i="61"/>
  <c r="Y82" i="61" s="1"/>
  <c r="Y76" i="61"/>
  <c r="D25" i="61"/>
  <c r="E25" i="61" s="1"/>
  <c r="D41" i="61"/>
  <c r="E41" i="61" s="1"/>
  <c r="H78" i="61"/>
  <c r="H79" i="61" s="1"/>
  <c r="H81" i="61" s="1"/>
  <c r="H83" i="61" s="1"/>
  <c r="J44" i="61"/>
  <c r="O41" i="61"/>
  <c r="L29" i="61"/>
  <c r="M29" i="61"/>
  <c r="J14" i="61"/>
  <c r="G29" i="61"/>
  <c r="B29" i="61"/>
  <c r="C29" i="61"/>
  <c r="E67" i="52"/>
  <c r="W76" i="55"/>
  <c r="Y34" i="61"/>
  <c r="Y35" i="61"/>
  <c r="Y37" i="61"/>
  <c r="Y39" i="61"/>
  <c r="T41" i="61"/>
  <c r="W29" i="61"/>
  <c r="V79" i="61"/>
  <c r="V81" i="61" s="1"/>
  <c r="V83" i="61" s="1"/>
  <c r="V29" i="61"/>
  <c r="Q29" i="61"/>
  <c r="S29" i="61"/>
  <c r="T25" i="61"/>
  <c r="Q78" i="45"/>
  <c r="Q79" i="45" s="1"/>
  <c r="Q81" i="45" s="1"/>
  <c r="Q83" i="45" s="1"/>
  <c r="S78" i="45"/>
  <c r="S79" i="45" s="1"/>
  <c r="W78" i="45"/>
  <c r="W79" i="45" s="1"/>
  <c r="AC18" i="45"/>
  <c r="AC21" i="45"/>
  <c r="AC23" i="45"/>
  <c r="AA25" i="45"/>
  <c r="AC16" i="45"/>
  <c r="AC20" i="45"/>
  <c r="AC22" i="45"/>
  <c r="AC24" i="45"/>
  <c r="T29" i="45"/>
  <c r="Y16" i="45"/>
  <c r="V25" i="45"/>
  <c r="V29" i="45" s="1"/>
  <c r="Y15" i="45"/>
  <c r="T25" i="45"/>
  <c r="AB34" i="45"/>
  <c r="AC34" i="45" s="1"/>
  <c r="AB36" i="45"/>
  <c r="AC36" i="45" s="1"/>
  <c r="AB38" i="45"/>
  <c r="AC38" i="45" s="1"/>
  <c r="AB35" i="45"/>
  <c r="AC35" i="45" s="1"/>
  <c r="AB37" i="45"/>
  <c r="AC37" i="45" s="1"/>
  <c r="AB39" i="45"/>
  <c r="AC39" i="45" s="1"/>
  <c r="Y34" i="45"/>
  <c r="Y35" i="45"/>
  <c r="Y36" i="45"/>
  <c r="Y37" i="45"/>
  <c r="Y38" i="45"/>
  <c r="Y39" i="45"/>
  <c r="T41" i="45"/>
  <c r="D72" i="57"/>
  <c r="C72" i="60"/>
  <c r="E72" i="60"/>
  <c r="D72" i="60"/>
  <c r="F72" i="60"/>
  <c r="C43" i="47"/>
  <c r="E43" i="47"/>
  <c r="G72" i="40"/>
  <c r="G34" i="27"/>
  <c r="F57" i="40"/>
  <c r="X56" i="52"/>
  <c r="J56" i="52"/>
  <c r="J57" i="52"/>
  <c r="J62" i="52"/>
  <c r="W37" i="46"/>
  <c r="D62" i="46"/>
  <c r="E62" i="46" s="1"/>
  <c r="F63" i="40"/>
  <c r="I35" i="46"/>
  <c r="J35" i="46" s="1"/>
  <c r="W56" i="46"/>
  <c r="X49" i="52"/>
  <c r="X50" i="52"/>
  <c r="X52" i="52"/>
  <c r="O56" i="52"/>
  <c r="O57" i="52"/>
  <c r="O62" i="52"/>
  <c r="E65" i="52"/>
  <c r="T67" i="52"/>
  <c r="D45" i="46"/>
  <c r="E45" i="46" s="1"/>
  <c r="V57" i="46"/>
  <c r="Y35" i="52"/>
  <c r="Y36" i="52"/>
  <c r="Y37" i="52"/>
  <c r="Y38" i="52"/>
  <c r="V52" i="46"/>
  <c r="V76" i="55"/>
  <c r="V78" i="55" s="1"/>
  <c r="AA79" i="55"/>
  <c r="E34" i="27"/>
  <c r="B72" i="60"/>
  <c r="H39" i="40"/>
  <c r="H57" i="40"/>
  <c r="H70" i="40"/>
  <c r="F43" i="60"/>
  <c r="H14" i="27" s="1"/>
  <c r="B63" i="40"/>
  <c r="H63" i="40"/>
  <c r="H30" i="40"/>
  <c r="AC44" i="59"/>
  <c r="E41" i="59"/>
  <c r="O41" i="59"/>
  <c r="N25" i="59"/>
  <c r="B29" i="59"/>
  <c r="Q29" i="59"/>
  <c r="C29" i="59"/>
  <c r="R29" i="59"/>
  <c r="V41" i="59"/>
  <c r="O44" i="59"/>
  <c r="W76" i="59"/>
  <c r="T33" i="59"/>
  <c r="AB35" i="59"/>
  <c r="AC35" i="59" s="1"/>
  <c r="J46" i="59"/>
  <c r="Y49" i="59"/>
  <c r="Y60" i="59"/>
  <c r="Y66" i="59"/>
  <c r="X14" i="59"/>
  <c r="Y14" i="59" s="1"/>
  <c r="Y18" i="59"/>
  <c r="Y22" i="59"/>
  <c r="Y50" i="59"/>
  <c r="Y55" i="59"/>
  <c r="Y61" i="59"/>
  <c r="Y67" i="59"/>
  <c r="Y75" i="59"/>
  <c r="X82" i="59"/>
  <c r="Y82" i="59" s="1"/>
  <c r="Y45" i="59"/>
  <c r="E33" i="59"/>
  <c r="V34" i="46"/>
  <c r="V46" i="46"/>
  <c r="V66" i="46"/>
  <c r="E39" i="40"/>
  <c r="E70" i="40"/>
  <c r="E72" i="40" s="1"/>
  <c r="T44" i="55"/>
  <c r="H79" i="55"/>
  <c r="H81" i="55" s="1"/>
  <c r="H83" i="55" s="1"/>
  <c r="J44" i="55"/>
  <c r="Y45" i="55"/>
  <c r="Y47" i="55"/>
  <c r="Y49" i="55"/>
  <c r="Y52" i="55"/>
  <c r="Y55" i="55"/>
  <c r="Y56" i="55"/>
  <c r="Y58" i="55"/>
  <c r="Y60" i="55"/>
  <c r="Y62" i="55"/>
  <c r="Y64" i="55"/>
  <c r="Y66" i="55"/>
  <c r="Y68" i="55"/>
  <c r="Y70" i="55"/>
  <c r="Y72" i="55"/>
  <c r="Y74" i="55"/>
  <c r="AC45" i="55"/>
  <c r="AC47" i="55"/>
  <c r="AC49" i="55"/>
  <c r="AC52" i="55"/>
  <c r="AC56" i="55"/>
  <c r="AC58" i="55"/>
  <c r="AC60" i="55"/>
  <c r="AC62" i="55"/>
  <c r="AC64" i="55"/>
  <c r="AC66" i="55"/>
  <c r="AC68" i="55"/>
  <c r="AC70" i="55"/>
  <c r="AC72" i="55"/>
  <c r="AC74" i="55"/>
  <c r="Y46" i="55"/>
  <c r="AC46" i="55"/>
  <c r="Y48" i="55"/>
  <c r="AC48" i="55"/>
  <c r="Y50" i="55"/>
  <c r="AC50" i="55"/>
  <c r="Y53" i="55"/>
  <c r="AC53" i="55"/>
  <c r="Y57" i="55"/>
  <c r="AC57" i="55"/>
  <c r="Y59" i="55"/>
  <c r="AC59" i="55"/>
  <c r="Y61" i="55"/>
  <c r="AC61" i="55"/>
  <c r="Y63" i="55"/>
  <c r="AC63" i="55"/>
  <c r="Y65" i="55"/>
  <c r="AC65" i="55"/>
  <c r="Y67" i="55"/>
  <c r="AC67" i="55"/>
  <c r="Y69" i="55"/>
  <c r="AC69" i="55"/>
  <c r="Y71" i="55"/>
  <c r="AC71" i="55"/>
  <c r="Y73" i="55"/>
  <c r="AC73" i="55"/>
  <c r="Y75" i="55"/>
  <c r="AC75" i="55"/>
  <c r="S41" i="55"/>
  <c r="T41" i="55" s="1"/>
  <c r="R79" i="55"/>
  <c r="R81" i="55" s="1"/>
  <c r="R83" i="55" s="1"/>
  <c r="Q81" i="55"/>
  <c r="Q83" i="55" s="1"/>
  <c r="T33" i="55"/>
  <c r="V40" i="46"/>
  <c r="O33" i="55"/>
  <c r="AB41" i="55"/>
  <c r="W41" i="55"/>
  <c r="D78" i="55"/>
  <c r="Y34" i="55"/>
  <c r="Y35" i="55"/>
  <c r="Y36" i="55"/>
  <c r="Y37" i="55"/>
  <c r="Y38" i="55"/>
  <c r="Y39" i="55"/>
  <c r="Y40" i="55"/>
  <c r="T14" i="55"/>
  <c r="Q29" i="55"/>
  <c r="S29" i="55"/>
  <c r="T25" i="55"/>
  <c r="AA29" i="55"/>
  <c r="R29" i="55"/>
  <c r="L29" i="55"/>
  <c r="G29" i="55"/>
  <c r="J14" i="55"/>
  <c r="H29" i="55"/>
  <c r="V29" i="55"/>
  <c r="Y18" i="55"/>
  <c r="Y19" i="55"/>
  <c r="Y20" i="55"/>
  <c r="Y21" i="55"/>
  <c r="Y22" i="55"/>
  <c r="Y23" i="55"/>
  <c r="C29" i="55"/>
  <c r="Y17" i="55"/>
  <c r="Y15" i="55"/>
  <c r="Y16" i="55"/>
  <c r="E30" i="40"/>
  <c r="E20" i="40"/>
  <c r="W29" i="53"/>
  <c r="AB29" i="53" s="1"/>
  <c r="AC29" i="53" s="1"/>
  <c r="T19" i="53"/>
  <c r="Y21" i="53"/>
  <c r="Y23" i="53"/>
  <c r="I19" i="53"/>
  <c r="J19" i="53" s="1"/>
  <c r="O19" i="53"/>
  <c r="D29" i="53"/>
  <c r="L29" i="53"/>
  <c r="Y16" i="53"/>
  <c r="Y17" i="53"/>
  <c r="Y18" i="53"/>
  <c r="Y20" i="53"/>
  <c r="Y22" i="53"/>
  <c r="Y24" i="53"/>
  <c r="O27" i="53"/>
  <c r="W27" i="46"/>
  <c r="I27" i="46"/>
  <c r="J27" i="46" s="1"/>
  <c r="X27" i="53"/>
  <c r="R78" i="53"/>
  <c r="R79" i="53" s="1"/>
  <c r="R81" i="53" s="1"/>
  <c r="R83" i="53" s="1"/>
  <c r="N41" i="53"/>
  <c r="O41" i="53" s="1"/>
  <c r="H78" i="53"/>
  <c r="V33" i="46"/>
  <c r="W41" i="53"/>
  <c r="W78" i="53" s="1"/>
  <c r="C78" i="53"/>
  <c r="C79" i="53" s="1"/>
  <c r="C81" i="53" s="1"/>
  <c r="C83" i="53" s="1"/>
  <c r="O33" i="53"/>
  <c r="X33" i="53"/>
  <c r="Y35" i="53"/>
  <c r="B81" i="53"/>
  <c r="B83" i="53" s="1"/>
  <c r="W73" i="46"/>
  <c r="V71" i="46"/>
  <c r="I71" i="46"/>
  <c r="J71" i="46" s="1"/>
  <c r="I68" i="46"/>
  <c r="J68" i="46" s="1"/>
  <c r="I45" i="46"/>
  <c r="J45" i="46" s="1"/>
  <c r="V48" i="46"/>
  <c r="V61" i="46"/>
  <c r="V65" i="46"/>
  <c r="L76" i="53"/>
  <c r="L78" i="53" s="1"/>
  <c r="I49" i="46"/>
  <c r="J49" i="46" s="1"/>
  <c r="I67" i="46"/>
  <c r="J67" i="46" s="1"/>
  <c r="D76" i="53"/>
  <c r="E76" i="53" s="1"/>
  <c r="X60" i="53"/>
  <c r="J60" i="53"/>
  <c r="X62" i="53"/>
  <c r="J62" i="53"/>
  <c r="X69" i="53"/>
  <c r="J69" i="53"/>
  <c r="G78" i="53"/>
  <c r="G79" i="53" s="1"/>
  <c r="G81" i="53" s="1"/>
  <c r="G83" i="53" s="1"/>
  <c r="Q76" i="53"/>
  <c r="Q78" i="53" s="1"/>
  <c r="Q79" i="53" s="1"/>
  <c r="I47" i="46"/>
  <c r="J47" i="46" s="1"/>
  <c r="I60" i="46"/>
  <c r="J60" i="46" s="1"/>
  <c r="I62" i="46"/>
  <c r="J62" i="46" s="1"/>
  <c r="D68" i="46"/>
  <c r="E68" i="46" s="1"/>
  <c r="D71" i="46"/>
  <c r="E71" i="46" s="1"/>
  <c r="V74" i="46"/>
  <c r="Y44" i="53"/>
  <c r="X45" i="53"/>
  <c r="Y45" i="53" s="1"/>
  <c r="J47" i="53"/>
  <c r="X48" i="53"/>
  <c r="X56" i="53"/>
  <c r="Y56" i="53" s="1"/>
  <c r="J56" i="53"/>
  <c r="X65" i="53"/>
  <c r="J65" i="53"/>
  <c r="X72" i="53"/>
  <c r="J72" i="53"/>
  <c r="X49" i="53"/>
  <c r="X58" i="53"/>
  <c r="X61" i="53"/>
  <c r="X63" i="53"/>
  <c r="X67" i="53"/>
  <c r="X74" i="53"/>
  <c r="J34" i="27"/>
  <c r="V56" i="46"/>
  <c r="V36" i="46"/>
  <c r="J49" i="52"/>
  <c r="O49" i="52"/>
  <c r="T49" i="52"/>
  <c r="J50" i="52"/>
  <c r="O50" i="52"/>
  <c r="T50" i="52"/>
  <c r="E51" i="52"/>
  <c r="J52" i="52"/>
  <c r="O52" i="52"/>
  <c r="T52" i="52"/>
  <c r="J53" i="52"/>
  <c r="O53" i="52"/>
  <c r="T53" i="52"/>
  <c r="F70" i="40"/>
  <c r="W36" i="46"/>
  <c r="I38" i="46"/>
  <c r="J38" i="46" s="1"/>
  <c r="D50" i="46"/>
  <c r="E50" i="46" s="1"/>
  <c r="I53" i="46"/>
  <c r="J53" i="46" s="1"/>
  <c r="I57" i="46"/>
  <c r="J57" i="46" s="1"/>
  <c r="D65" i="46"/>
  <c r="E65" i="46" s="1"/>
  <c r="I65" i="46"/>
  <c r="J65" i="46" s="1"/>
  <c r="D67" i="46"/>
  <c r="E67" i="46" s="1"/>
  <c r="H41" i="52"/>
  <c r="M41" i="52"/>
  <c r="M78" i="52" s="1"/>
  <c r="M79" i="52" s="1"/>
  <c r="M81" i="52" s="1"/>
  <c r="M83" i="52" s="1"/>
  <c r="R41" i="52"/>
  <c r="O35" i="52"/>
  <c r="O36" i="52"/>
  <c r="O37" i="52"/>
  <c r="H76" i="52"/>
  <c r="R76" i="52"/>
  <c r="K72" i="40"/>
  <c r="H25" i="46"/>
  <c r="H29" i="46" s="1"/>
  <c r="J18" i="46"/>
  <c r="C25" i="46"/>
  <c r="C29" i="46" s="1"/>
  <c r="D16" i="46"/>
  <c r="E16" i="46" s="1"/>
  <c r="B41" i="46"/>
  <c r="B78" i="46" s="1"/>
  <c r="E34" i="46"/>
  <c r="E36" i="46"/>
  <c r="W64" i="46"/>
  <c r="AB64" i="46" s="1"/>
  <c r="AC64" i="46" s="1"/>
  <c r="W68" i="46"/>
  <c r="AB68" i="46" s="1"/>
  <c r="AC68" i="46" s="1"/>
  <c r="V69" i="46"/>
  <c r="V55" i="46"/>
  <c r="V59" i="46"/>
  <c r="V63" i="46"/>
  <c r="W70" i="46"/>
  <c r="AB70" i="46" s="1"/>
  <c r="AC70" i="46" s="1"/>
  <c r="V75" i="46"/>
  <c r="E40" i="46"/>
  <c r="D15" i="46"/>
  <c r="E15" i="46" s="1"/>
  <c r="J20" i="46"/>
  <c r="D22" i="46"/>
  <c r="E22" i="46" s="1"/>
  <c r="J24" i="46"/>
  <c r="D46" i="46"/>
  <c r="E46" i="46" s="1"/>
  <c r="I46" i="46"/>
  <c r="J46" i="46" s="1"/>
  <c r="D48" i="46"/>
  <c r="E48" i="46" s="1"/>
  <c r="I48" i="46"/>
  <c r="J48" i="46" s="1"/>
  <c r="D54" i="46"/>
  <c r="E54" i="46" s="1"/>
  <c r="I54" i="46"/>
  <c r="J54" i="46" s="1"/>
  <c r="D58" i="46"/>
  <c r="E58" i="46" s="1"/>
  <c r="I58" i="46"/>
  <c r="J58" i="46" s="1"/>
  <c r="D60" i="46"/>
  <c r="E60" i="46" s="1"/>
  <c r="D74" i="46"/>
  <c r="E74" i="46" s="1"/>
  <c r="I74" i="46"/>
  <c r="J74" i="46" s="1"/>
  <c r="J17" i="46"/>
  <c r="V35" i="46"/>
  <c r="E38" i="46"/>
  <c r="W46" i="46"/>
  <c r="G25" i="46"/>
  <c r="G29" i="46" s="1"/>
  <c r="J21" i="46"/>
  <c r="E35" i="46"/>
  <c r="E37" i="46"/>
  <c r="V38" i="46"/>
  <c r="E39" i="46"/>
  <c r="W71" i="46"/>
  <c r="D23" i="46"/>
  <c r="E23" i="46" s="1"/>
  <c r="W34" i="46"/>
  <c r="W40" i="46"/>
  <c r="C41" i="46"/>
  <c r="C78" i="46" s="1"/>
  <c r="I14" i="46"/>
  <c r="J15" i="46"/>
  <c r="J16" i="46"/>
  <c r="D17" i="46"/>
  <c r="E17" i="46" s="1"/>
  <c r="D18" i="46"/>
  <c r="E18" i="46" s="1"/>
  <c r="D27" i="46"/>
  <c r="E27" i="46" s="1"/>
  <c r="W39" i="46"/>
  <c r="W48" i="46"/>
  <c r="AB48" i="46" s="1"/>
  <c r="AC48" i="46" s="1"/>
  <c r="W58" i="46"/>
  <c r="W60" i="46"/>
  <c r="W74" i="46"/>
  <c r="D21" i="46"/>
  <c r="E21" i="46" s="1"/>
  <c r="J22" i="46"/>
  <c r="J23" i="46"/>
  <c r="D24" i="46"/>
  <c r="E24" i="46" s="1"/>
  <c r="I34" i="46"/>
  <c r="J34" i="46" s="1"/>
  <c r="I39" i="46"/>
  <c r="J39" i="46" s="1"/>
  <c r="I40" i="46"/>
  <c r="J40" i="46" s="1"/>
  <c r="D49" i="46"/>
  <c r="E49" i="46" s="1"/>
  <c r="D51" i="46"/>
  <c r="E51" i="46" s="1"/>
  <c r="I51" i="46"/>
  <c r="J51" i="46" s="1"/>
  <c r="D55" i="46"/>
  <c r="E55" i="46" s="1"/>
  <c r="I55" i="46"/>
  <c r="J55" i="46" s="1"/>
  <c r="W55" i="46"/>
  <c r="D59" i="46"/>
  <c r="E59" i="46" s="1"/>
  <c r="I59" i="46"/>
  <c r="J59" i="46" s="1"/>
  <c r="W59" i="46"/>
  <c r="D61" i="46"/>
  <c r="E61" i="46" s="1"/>
  <c r="I61" i="46"/>
  <c r="J61" i="46" s="1"/>
  <c r="W61" i="46"/>
  <c r="D63" i="46"/>
  <c r="E63" i="46" s="1"/>
  <c r="I63" i="46"/>
  <c r="J63" i="46" s="1"/>
  <c r="W63" i="46"/>
  <c r="D64" i="46"/>
  <c r="E64" i="46" s="1"/>
  <c r="I64" i="46"/>
  <c r="J64" i="46" s="1"/>
  <c r="D66" i="46"/>
  <c r="E66" i="46" s="1"/>
  <c r="I66" i="46"/>
  <c r="J66" i="46" s="1"/>
  <c r="W66" i="46"/>
  <c r="D69" i="46"/>
  <c r="E69" i="46" s="1"/>
  <c r="I69" i="46"/>
  <c r="J69" i="46" s="1"/>
  <c r="W69" i="46"/>
  <c r="D70" i="46"/>
  <c r="E70" i="46" s="1"/>
  <c r="I70" i="46"/>
  <c r="J70" i="46" s="1"/>
  <c r="D72" i="46"/>
  <c r="E72" i="46" s="1"/>
  <c r="I72" i="46"/>
  <c r="J72" i="46" s="1"/>
  <c r="W72" i="46"/>
  <c r="D73" i="46"/>
  <c r="E73" i="46" s="1"/>
  <c r="I73" i="46"/>
  <c r="J73" i="46" s="1"/>
  <c r="D75" i="46"/>
  <c r="E75" i="46" s="1"/>
  <c r="I75" i="46"/>
  <c r="J75" i="46" s="1"/>
  <c r="W75" i="46"/>
  <c r="K28" i="27"/>
  <c r="K23" i="27"/>
  <c r="K19" i="27"/>
  <c r="K15" i="27"/>
  <c r="K30" i="40"/>
  <c r="K39" i="40"/>
  <c r="V39" i="46"/>
  <c r="I56" i="46"/>
  <c r="J56" i="46" s="1"/>
  <c r="V73" i="46"/>
  <c r="V64" i="46"/>
  <c r="V68" i="46"/>
  <c r="V70" i="46"/>
  <c r="O38" i="52"/>
  <c r="J45" i="52"/>
  <c r="O45" i="52"/>
  <c r="T45" i="52"/>
  <c r="J47" i="52"/>
  <c r="O47" i="52"/>
  <c r="T47" i="52"/>
  <c r="I52" i="46"/>
  <c r="J52" i="46" s="1"/>
  <c r="C20" i="54"/>
  <c r="E20" i="54"/>
  <c r="C39" i="54"/>
  <c r="E39" i="54"/>
  <c r="B57" i="54"/>
  <c r="D57" i="54"/>
  <c r="F57" i="54"/>
  <c r="C63" i="54"/>
  <c r="E63" i="54"/>
  <c r="C70" i="54"/>
  <c r="E70" i="54"/>
  <c r="G41" i="52"/>
  <c r="L41" i="52"/>
  <c r="L78" i="52" s="1"/>
  <c r="L79" i="52" s="1"/>
  <c r="L81" i="52" s="1"/>
  <c r="L83" i="52" s="1"/>
  <c r="Q41" i="52"/>
  <c r="D30" i="40"/>
  <c r="D39" i="40"/>
  <c r="D70" i="40"/>
  <c r="D72" i="40" s="1"/>
  <c r="C20" i="40"/>
  <c r="C30" i="40"/>
  <c r="D47" i="46"/>
  <c r="E47" i="46" s="1"/>
  <c r="F39" i="40"/>
  <c r="B20" i="54"/>
  <c r="D20" i="54"/>
  <c r="F20" i="54"/>
  <c r="B39" i="54"/>
  <c r="D39" i="54"/>
  <c r="F39" i="54"/>
  <c r="C57" i="54"/>
  <c r="E57" i="54"/>
  <c r="B63" i="54"/>
  <c r="D63" i="54"/>
  <c r="F63" i="54"/>
  <c r="B70" i="54"/>
  <c r="D70" i="54"/>
  <c r="F70" i="54"/>
  <c r="Y34" i="52"/>
  <c r="Y39" i="52"/>
  <c r="Y40" i="52"/>
  <c r="G76" i="52"/>
  <c r="O65" i="52"/>
  <c r="T65" i="52"/>
  <c r="J67" i="52"/>
  <c r="O67" i="52"/>
  <c r="F20" i="40"/>
  <c r="W33" i="46"/>
  <c r="D44" i="46"/>
  <c r="I44" i="46"/>
  <c r="V44" i="46"/>
  <c r="W45" i="46"/>
  <c r="AB35" i="52"/>
  <c r="AC35" i="52" s="1"/>
  <c r="AB36" i="52"/>
  <c r="AC36" i="52" s="1"/>
  <c r="AB37" i="52"/>
  <c r="AC37" i="52" s="1"/>
  <c r="AB38" i="52"/>
  <c r="AC38" i="52" s="1"/>
  <c r="W44" i="46"/>
  <c r="W47" i="46"/>
  <c r="W49" i="46"/>
  <c r="W50" i="46"/>
  <c r="AB45" i="52"/>
  <c r="AC45" i="52" s="1"/>
  <c r="Y45" i="52"/>
  <c r="W62" i="46"/>
  <c r="Q76" i="52"/>
  <c r="E45" i="52"/>
  <c r="E47" i="52"/>
  <c r="E49" i="52"/>
  <c r="D52" i="46"/>
  <c r="E52" i="46" s="1"/>
  <c r="W52" i="46"/>
  <c r="I41" i="52"/>
  <c r="J35" i="52"/>
  <c r="J36" i="52"/>
  <c r="J37" i="52"/>
  <c r="J38" i="52"/>
  <c r="E52" i="52"/>
  <c r="E53" i="52"/>
  <c r="E56" i="52"/>
  <c r="E57" i="52"/>
  <c r="E62" i="52"/>
  <c r="X65" i="52"/>
  <c r="AB66" i="52"/>
  <c r="AC66" i="52" s="1"/>
  <c r="Y66" i="52"/>
  <c r="E50" i="52"/>
  <c r="AB63" i="52"/>
  <c r="AC63" i="52" s="1"/>
  <c r="Y63" i="52"/>
  <c r="AB64" i="52"/>
  <c r="AC64" i="52" s="1"/>
  <c r="Y64" i="52"/>
  <c r="X67" i="52"/>
  <c r="AB68" i="52"/>
  <c r="AC68" i="52" s="1"/>
  <c r="Y68" i="52"/>
  <c r="B43" i="47"/>
  <c r="D43" i="47"/>
  <c r="F43" i="47"/>
  <c r="G14" i="27" s="1"/>
  <c r="G43" i="40"/>
  <c r="E76" i="55"/>
  <c r="J15" i="27"/>
  <c r="X76" i="53" l="1"/>
  <c r="H79" i="53"/>
  <c r="H81" i="53" s="1"/>
  <c r="H83" i="53" s="1"/>
  <c r="I83" i="53" s="1"/>
  <c r="J83" i="53" s="1"/>
  <c r="V29" i="58"/>
  <c r="AC58" i="52"/>
  <c r="F18" i="27"/>
  <c r="F27" i="27"/>
  <c r="F22" i="27"/>
  <c r="F13" i="27"/>
  <c r="F21" i="27"/>
  <c r="F25" i="27"/>
  <c r="F17" i="27"/>
  <c r="J41" i="55"/>
  <c r="I78" i="55"/>
  <c r="AA29" i="45"/>
  <c r="AB29" i="45" s="1"/>
  <c r="AC29" i="45" s="1"/>
  <c r="J29" i="52"/>
  <c r="B22" i="27"/>
  <c r="B18" i="27"/>
  <c r="B25" i="27"/>
  <c r="B17" i="27"/>
  <c r="D32" i="27"/>
  <c r="I83" i="58"/>
  <c r="B13" i="27"/>
  <c r="B27" i="27"/>
  <c r="X33" i="46"/>
  <c r="W81" i="61"/>
  <c r="W83" i="61" s="1"/>
  <c r="W78" i="48"/>
  <c r="W79" i="48" s="1"/>
  <c r="G30" i="27" s="1"/>
  <c r="G15" i="27"/>
  <c r="B21" i="27"/>
  <c r="D43" i="40"/>
  <c r="C30" i="27"/>
  <c r="C31" i="27"/>
  <c r="H43" i="40"/>
  <c r="H35" i="27" s="1"/>
  <c r="L79" i="55"/>
  <c r="L81" i="55" s="1"/>
  <c r="L83" i="55" s="1"/>
  <c r="N83" i="55" s="1"/>
  <c r="R78" i="52"/>
  <c r="R79" i="52" s="1"/>
  <c r="R81" i="52" s="1"/>
  <c r="R83" i="52" s="1"/>
  <c r="AC44" i="48"/>
  <c r="AB76" i="48"/>
  <c r="X41" i="48"/>
  <c r="Y41" i="48" s="1"/>
  <c r="Y33" i="59"/>
  <c r="X41" i="59"/>
  <c r="Y41" i="59" s="1"/>
  <c r="AC25" i="59"/>
  <c r="X53" i="52"/>
  <c r="Y53" i="52" s="1"/>
  <c r="AB53" i="52"/>
  <c r="AC53" i="52" s="1"/>
  <c r="I25" i="53"/>
  <c r="I29" i="53" s="1"/>
  <c r="J29" i="53" s="1"/>
  <c r="S25" i="53"/>
  <c r="Q81" i="53"/>
  <c r="Q83" i="53" s="1"/>
  <c r="S83" i="53" s="1"/>
  <c r="W24" i="46"/>
  <c r="X24" i="46" s="1"/>
  <c r="Y24" i="46" s="1"/>
  <c r="AC25" i="52"/>
  <c r="F43" i="54"/>
  <c r="F14" i="27" s="1"/>
  <c r="X25" i="59"/>
  <c r="Y25" i="59" s="1"/>
  <c r="S83" i="55"/>
  <c r="I83" i="48"/>
  <c r="I78" i="59"/>
  <c r="J78" i="59" s="1"/>
  <c r="D83" i="59"/>
  <c r="S83" i="58"/>
  <c r="T83" i="58" s="1"/>
  <c r="V78" i="59"/>
  <c r="V79" i="59" s="1"/>
  <c r="V81" i="59" s="1"/>
  <c r="V83" i="59" s="1"/>
  <c r="J25" i="48"/>
  <c r="O29" i="52"/>
  <c r="S83" i="59"/>
  <c r="T78" i="59"/>
  <c r="I29" i="61"/>
  <c r="J29" i="61" s="1"/>
  <c r="AB76" i="45"/>
  <c r="N83" i="45"/>
  <c r="O25" i="58"/>
  <c r="N78" i="59"/>
  <c r="O78" i="59" s="1"/>
  <c r="E78" i="55"/>
  <c r="S29" i="58"/>
  <c r="T29" i="58" s="1"/>
  <c r="D83" i="53"/>
  <c r="AA79" i="59"/>
  <c r="AA81" i="59" s="1"/>
  <c r="AA83" i="59" s="1"/>
  <c r="N83" i="58"/>
  <c r="O83" i="58" s="1"/>
  <c r="I29" i="58"/>
  <c r="J29" i="58" s="1"/>
  <c r="D83" i="58"/>
  <c r="I83" i="59"/>
  <c r="I29" i="59"/>
  <c r="J29" i="59" s="1"/>
  <c r="N83" i="59"/>
  <c r="O83" i="59" s="1"/>
  <c r="H23" i="27"/>
  <c r="V78" i="48"/>
  <c r="V79" i="48" s="1"/>
  <c r="V81" i="48" s="1"/>
  <c r="V83" i="48" s="1"/>
  <c r="R81" i="48"/>
  <c r="R83" i="48" s="1"/>
  <c r="S83" i="48" s="1"/>
  <c r="N83" i="48"/>
  <c r="AB47" i="52"/>
  <c r="AC47" i="52" s="1"/>
  <c r="X47" i="52"/>
  <c r="Y47" i="52" s="1"/>
  <c r="X57" i="52"/>
  <c r="Y57" i="52" s="1"/>
  <c r="X62" i="52"/>
  <c r="Y62" i="52" s="1"/>
  <c r="E72" i="54"/>
  <c r="F72" i="54"/>
  <c r="S78" i="55"/>
  <c r="T78" i="55" s="1"/>
  <c r="I83" i="55"/>
  <c r="N79" i="61"/>
  <c r="N81" i="61" s="1"/>
  <c r="N83" i="61" s="1"/>
  <c r="I83" i="61"/>
  <c r="D29" i="61"/>
  <c r="E29" i="61" s="1"/>
  <c r="D83" i="61"/>
  <c r="B81" i="45"/>
  <c r="B83" i="45" s="1"/>
  <c r="D83" i="45" s="1"/>
  <c r="I83" i="45"/>
  <c r="N29" i="45"/>
  <c r="O29" i="45" s="1"/>
  <c r="S83" i="45"/>
  <c r="T83" i="45" s="1"/>
  <c r="Y61" i="53"/>
  <c r="Y49" i="53"/>
  <c r="Y48" i="53"/>
  <c r="Y72" i="53"/>
  <c r="Y58" i="53"/>
  <c r="Y60" i="53"/>
  <c r="Y74" i="53"/>
  <c r="Y69" i="53"/>
  <c r="Y67" i="53"/>
  <c r="Y65" i="53"/>
  <c r="V41" i="53"/>
  <c r="X41" i="53"/>
  <c r="Y63" i="53"/>
  <c r="Y62" i="53"/>
  <c r="Q79" i="61"/>
  <c r="Q81" i="61" s="1"/>
  <c r="Q83" i="61" s="1"/>
  <c r="O25" i="52"/>
  <c r="S78" i="58"/>
  <c r="T41" i="59"/>
  <c r="N78" i="55"/>
  <c r="O78" i="55" s="1"/>
  <c r="D78" i="53"/>
  <c r="D79" i="53" s="1"/>
  <c r="D81" i="53" s="1"/>
  <c r="E25" i="53"/>
  <c r="W78" i="58"/>
  <c r="W79" i="58" s="1"/>
  <c r="E25" i="58"/>
  <c r="N78" i="58"/>
  <c r="J25" i="55"/>
  <c r="J78" i="55"/>
  <c r="AA81" i="55"/>
  <c r="AA83" i="55" s="1"/>
  <c r="B81" i="55"/>
  <c r="B83" i="55" s="1"/>
  <c r="D83" i="55" s="1"/>
  <c r="D79" i="55"/>
  <c r="D81" i="55" s="1"/>
  <c r="I78" i="61"/>
  <c r="J78" i="61" s="1"/>
  <c r="N78" i="45"/>
  <c r="S81" i="59"/>
  <c r="N29" i="48"/>
  <c r="O29" i="48" s="1"/>
  <c r="X76" i="48"/>
  <c r="Y76" i="48" s="1"/>
  <c r="N78" i="48"/>
  <c r="I78" i="48"/>
  <c r="J78" i="48" s="1"/>
  <c r="AB41" i="48"/>
  <c r="AC41" i="48" s="1"/>
  <c r="F34" i="27"/>
  <c r="E29" i="53"/>
  <c r="V78" i="58"/>
  <c r="V79" i="58" s="1"/>
  <c r="X76" i="58"/>
  <c r="Y76" i="58" s="1"/>
  <c r="Y44" i="58"/>
  <c r="AB76" i="58"/>
  <c r="AC76" i="58" s="1"/>
  <c r="I78" i="58"/>
  <c r="X41" i="58"/>
  <c r="D78" i="58"/>
  <c r="AB41" i="58"/>
  <c r="X25" i="58"/>
  <c r="Y25" i="58" s="1"/>
  <c r="AB25" i="58"/>
  <c r="AC25" i="58" s="1"/>
  <c r="W29" i="58"/>
  <c r="AB29" i="58" s="1"/>
  <c r="AC29" i="58" s="1"/>
  <c r="AB46" i="46"/>
  <c r="AC46" i="46" s="1"/>
  <c r="AB44" i="46"/>
  <c r="AC44" i="46" s="1"/>
  <c r="AB29" i="59"/>
  <c r="AC29" i="59" s="1"/>
  <c r="D78" i="59"/>
  <c r="E78" i="59" s="1"/>
  <c r="AB76" i="59"/>
  <c r="AC76" i="59" s="1"/>
  <c r="AB73" i="46"/>
  <c r="AC73" i="46" s="1"/>
  <c r="AB41" i="59"/>
  <c r="AC41" i="59" s="1"/>
  <c r="D78" i="48"/>
  <c r="E78" i="48" s="1"/>
  <c r="E41" i="48"/>
  <c r="D29" i="48"/>
  <c r="E29" i="48" s="1"/>
  <c r="E25" i="48"/>
  <c r="T41" i="48"/>
  <c r="S78" i="48"/>
  <c r="T78" i="48" s="1"/>
  <c r="Y33" i="48"/>
  <c r="X25" i="48"/>
  <c r="S29" i="48"/>
  <c r="T29" i="48" s="1"/>
  <c r="T25" i="48"/>
  <c r="AB25" i="48"/>
  <c r="AC25" i="48" s="1"/>
  <c r="AB71" i="46"/>
  <c r="AC71" i="46" s="1"/>
  <c r="AA81" i="52"/>
  <c r="AA83" i="52" s="1"/>
  <c r="E41" i="52"/>
  <c r="I78" i="52"/>
  <c r="AB49" i="52"/>
  <c r="AC49" i="52" s="1"/>
  <c r="AB50" i="52"/>
  <c r="AC50" i="52" s="1"/>
  <c r="AB52" i="52"/>
  <c r="AC52" i="52" s="1"/>
  <c r="Y56" i="52"/>
  <c r="AB56" i="52"/>
  <c r="AC56" i="52" s="1"/>
  <c r="T78" i="45"/>
  <c r="S81" i="45"/>
  <c r="D29" i="45"/>
  <c r="E29" i="45" s="1"/>
  <c r="O25" i="55"/>
  <c r="J29" i="55"/>
  <c r="D78" i="45"/>
  <c r="J41" i="45"/>
  <c r="I78" i="45"/>
  <c r="I29" i="45"/>
  <c r="J29" i="45" s="1"/>
  <c r="J25" i="45"/>
  <c r="T25" i="52"/>
  <c r="AB62" i="52"/>
  <c r="AC62" i="52" s="1"/>
  <c r="I37" i="46"/>
  <c r="J37" i="46" s="1"/>
  <c r="X27" i="46"/>
  <c r="J25" i="52"/>
  <c r="Y52" i="52"/>
  <c r="Y50" i="52"/>
  <c r="D57" i="46"/>
  <c r="E57" i="46" s="1"/>
  <c r="H78" i="52"/>
  <c r="H79" i="52" s="1"/>
  <c r="H81" i="52" s="1"/>
  <c r="H83" i="52" s="1"/>
  <c r="W35" i="46"/>
  <c r="X35" i="46" s="1"/>
  <c r="Y35" i="46" s="1"/>
  <c r="G78" i="52"/>
  <c r="AB57" i="52"/>
  <c r="AC57" i="52" s="1"/>
  <c r="V41" i="52"/>
  <c r="D43" i="54"/>
  <c r="J41" i="61"/>
  <c r="AB29" i="61"/>
  <c r="AC29" i="61" s="1"/>
  <c r="T78" i="61"/>
  <c r="L79" i="61"/>
  <c r="L81" i="61" s="1"/>
  <c r="O78" i="61"/>
  <c r="O25" i="61"/>
  <c r="D56" i="46"/>
  <c r="E56" i="46" s="1"/>
  <c r="D78" i="61"/>
  <c r="E78" i="61" s="1"/>
  <c r="V49" i="46"/>
  <c r="X49" i="46" s="1"/>
  <c r="Y49" i="46" s="1"/>
  <c r="V67" i="46"/>
  <c r="AA25" i="46"/>
  <c r="X52" i="46"/>
  <c r="Y52" i="46" s="1"/>
  <c r="O29" i="61"/>
  <c r="Y49" i="52"/>
  <c r="C79" i="46"/>
  <c r="W78" i="55"/>
  <c r="AB41" i="61"/>
  <c r="AC41" i="61" s="1"/>
  <c r="X34" i="46"/>
  <c r="Y34" i="46" s="1"/>
  <c r="X41" i="61"/>
  <c r="X78" i="61" s="1"/>
  <c r="Y33" i="61"/>
  <c r="X25" i="61"/>
  <c r="T29" i="61"/>
  <c r="AB39" i="46"/>
  <c r="AC39" i="46" s="1"/>
  <c r="V79" i="45"/>
  <c r="V81" i="45" s="1"/>
  <c r="V83" i="45" s="1"/>
  <c r="Y14" i="45"/>
  <c r="AC25" i="45"/>
  <c r="Y33" i="45"/>
  <c r="X41" i="45"/>
  <c r="AB33" i="45"/>
  <c r="AA41" i="45"/>
  <c r="AA78" i="45" s="1"/>
  <c r="AA79" i="45" s="1"/>
  <c r="AA41" i="46"/>
  <c r="H28" i="27"/>
  <c r="G36" i="27"/>
  <c r="E43" i="40"/>
  <c r="D72" i="54"/>
  <c r="B72" i="54"/>
  <c r="B43" i="54"/>
  <c r="F72" i="40"/>
  <c r="F30" i="40"/>
  <c r="F43" i="40" s="1"/>
  <c r="F35" i="27" s="1"/>
  <c r="V37" i="46"/>
  <c r="V41" i="46" s="1"/>
  <c r="B57" i="40"/>
  <c r="B72" i="40" s="1"/>
  <c r="X66" i="46"/>
  <c r="Y66" i="46" s="1"/>
  <c r="H15" i="27"/>
  <c r="H34" i="27"/>
  <c r="H72" i="40"/>
  <c r="S29" i="59"/>
  <c r="T29" i="59" s="1"/>
  <c r="N29" i="59"/>
  <c r="O29" i="59" s="1"/>
  <c r="O25" i="59"/>
  <c r="D29" i="59"/>
  <c r="E29" i="59" s="1"/>
  <c r="AC14" i="59"/>
  <c r="V45" i="46"/>
  <c r="X45" i="46" s="1"/>
  <c r="Y45" i="46" s="1"/>
  <c r="W78" i="59"/>
  <c r="W79" i="59" s="1"/>
  <c r="Y44" i="59"/>
  <c r="X76" i="59"/>
  <c r="Y76" i="59" s="1"/>
  <c r="X73" i="46"/>
  <c r="Y73" i="46" s="1"/>
  <c r="V79" i="55"/>
  <c r="AC76" i="55"/>
  <c r="AC44" i="55"/>
  <c r="X76" i="55"/>
  <c r="Y76" i="55" s="1"/>
  <c r="Y44" i="55"/>
  <c r="X40" i="46"/>
  <c r="Y40" i="46" s="1"/>
  <c r="G41" i="46"/>
  <c r="G78" i="46" s="1"/>
  <c r="AC41" i="55"/>
  <c r="X41" i="55"/>
  <c r="Y33" i="55"/>
  <c r="T29" i="55"/>
  <c r="AB27" i="55"/>
  <c r="AC27" i="55" s="1"/>
  <c r="O29" i="55"/>
  <c r="W29" i="55"/>
  <c r="AB25" i="55"/>
  <c r="AC14" i="55"/>
  <c r="Y14" i="55"/>
  <c r="D29" i="55"/>
  <c r="E29" i="55" s="1"/>
  <c r="E25" i="55"/>
  <c r="L79" i="53"/>
  <c r="L81" i="53" s="1"/>
  <c r="W79" i="53"/>
  <c r="V29" i="53"/>
  <c r="Y19" i="53"/>
  <c r="N29" i="53"/>
  <c r="O29" i="53" s="1"/>
  <c r="Y15" i="53"/>
  <c r="I33" i="46"/>
  <c r="J33" i="46" s="1"/>
  <c r="X39" i="46"/>
  <c r="Y39" i="46" s="1"/>
  <c r="H41" i="46"/>
  <c r="H78" i="46" s="1"/>
  <c r="S41" i="53"/>
  <c r="T41" i="53" s="1"/>
  <c r="T33" i="53"/>
  <c r="I41" i="53"/>
  <c r="J33" i="53"/>
  <c r="V58" i="46"/>
  <c r="X58" i="46" s="1"/>
  <c r="Y58" i="46" s="1"/>
  <c r="X55" i="46"/>
  <c r="Y55" i="46" s="1"/>
  <c r="X71" i="46"/>
  <c r="Y71" i="46" s="1"/>
  <c r="V50" i="46"/>
  <c r="X50" i="46" s="1"/>
  <c r="Y50" i="46" s="1"/>
  <c r="X64" i="46"/>
  <c r="Y64" i="46" s="1"/>
  <c r="X69" i="46"/>
  <c r="Y69" i="46" s="1"/>
  <c r="X46" i="46"/>
  <c r="Y46" i="46" s="1"/>
  <c r="X48" i="46"/>
  <c r="Y48" i="46" s="1"/>
  <c r="X74" i="46"/>
  <c r="Y74" i="46" s="1"/>
  <c r="V72" i="46"/>
  <c r="X72" i="46" s="1"/>
  <c r="Y72" i="46" s="1"/>
  <c r="D53" i="46"/>
  <c r="E53" i="46" s="1"/>
  <c r="X75" i="46"/>
  <c r="Y75" i="46" s="1"/>
  <c r="X63" i="46"/>
  <c r="Y63" i="46" s="1"/>
  <c r="X59" i="46"/>
  <c r="Y59" i="46" s="1"/>
  <c r="V53" i="46"/>
  <c r="V62" i="46"/>
  <c r="X62" i="46" s="1"/>
  <c r="Y62" i="46" s="1"/>
  <c r="V47" i="46"/>
  <c r="X47" i="46" s="1"/>
  <c r="Y47" i="46" s="1"/>
  <c r="V60" i="46"/>
  <c r="X60" i="46" s="1"/>
  <c r="Y60" i="46" s="1"/>
  <c r="N76" i="53"/>
  <c r="O45" i="53"/>
  <c r="T76" i="53"/>
  <c r="I76" i="53"/>
  <c r="J35" i="27"/>
  <c r="J36" i="27" s="1"/>
  <c r="B30" i="40"/>
  <c r="B39" i="40"/>
  <c r="V76" i="52"/>
  <c r="Q78" i="52"/>
  <c r="Q79" i="52" s="1"/>
  <c r="Q81" i="52" s="1"/>
  <c r="Q83" i="52" s="1"/>
  <c r="W67" i="46"/>
  <c r="AB67" i="46" s="1"/>
  <c r="AC67" i="46" s="1"/>
  <c r="W65" i="46"/>
  <c r="AB65" i="46" s="1"/>
  <c r="AC65" i="46" s="1"/>
  <c r="W57" i="46"/>
  <c r="AB57" i="46" s="1"/>
  <c r="AC57" i="46" s="1"/>
  <c r="W38" i="46"/>
  <c r="X38" i="46" s="1"/>
  <c r="Y38" i="46" s="1"/>
  <c r="I36" i="46"/>
  <c r="J36" i="46" s="1"/>
  <c r="C72" i="54"/>
  <c r="W53" i="46"/>
  <c r="AB53" i="46" s="1"/>
  <c r="AC53" i="46" s="1"/>
  <c r="I50" i="46"/>
  <c r="J50" i="46" s="1"/>
  <c r="K43" i="40"/>
  <c r="K35" i="27" s="1"/>
  <c r="K36" i="27" s="1"/>
  <c r="B20" i="40"/>
  <c r="AB52" i="46"/>
  <c r="AC52" i="46" s="1"/>
  <c r="X70" i="46"/>
  <c r="Y70" i="46" s="1"/>
  <c r="X61" i="46"/>
  <c r="Y61" i="46" s="1"/>
  <c r="X68" i="46"/>
  <c r="Y68" i="46" s="1"/>
  <c r="AB60" i="46"/>
  <c r="AC60" i="46" s="1"/>
  <c r="AB74" i="46"/>
  <c r="AC74" i="46" s="1"/>
  <c r="AB58" i="46"/>
  <c r="AC58" i="46" s="1"/>
  <c r="AB34" i="46"/>
  <c r="AC34" i="46" s="1"/>
  <c r="AB66" i="46"/>
  <c r="AC66" i="46" s="1"/>
  <c r="AB75" i="46"/>
  <c r="AC75" i="46" s="1"/>
  <c r="AB69" i="46"/>
  <c r="AC69" i="46" s="1"/>
  <c r="AB59" i="46"/>
  <c r="AC59" i="46" s="1"/>
  <c r="I25" i="46"/>
  <c r="J14" i="46"/>
  <c r="D41" i="46"/>
  <c r="E33" i="46"/>
  <c r="AB72" i="46"/>
  <c r="AC72" i="46" s="1"/>
  <c r="AB63" i="46"/>
  <c r="AC63" i="46" s="1"/>
  <c r="AB40" i="46"/>
  <c r="AC40" i="46" s="1"/>
  <c r="AB61" i="46"/>
  <c r="AC61" i="46" s="1"/>
  <c r="AB55" i="46"/>
  <c r="AC55" i="46" s="1"/>
  <c r="AC14" i="46"/>
  <c r="C43" i="54"/>
  <c r="E43" i="54"/>
  <c r="C43" i="40"/>
  <c r="C35" i="27" s="1"/>
  <c r="N41" i="52"/>
  <c r="O33" i="52"/>
  <c r="S76" i="52"/>
  <c r="T76" i="52" s="1"/>
  <c r="T44" i="52"/>
  <c r="N76" i="52"/>
  <c r="O76" i="52" s="1"/>
  <c r="O44" i="52"/>
  <c r="D78" i="52"/>
  <c r="E44" i="52"/>
  <c r="AB33" i="52"/>
  <c r="AB50" i="46"/>
  <c r="AC50" i="46" s="1"/>
  <c r="X36" i="46"/>
  <c r="Y36" i="46" s="1"/>
  <c r="AB36" i="46"/>
  <c r="AC36" i="46" s="1"/>
  <c r="AB45" i="46"/>
  <c r="AC45" i="46" s="1"/>
  <c r="J44" i="46"/>
  <c r="AB67" i="52"/>
  <c r="AC67" i="52" s="1"/>
  <c r="Y67" i="52"/>
  <c r="AB65" i="52"/>
  <c r="AC65" i="52" s="1"/>
  <c r="Y65" i="52"/>
  <c r="S41" i="52"/>
  <c r="T33" i="52"/>
  <c r="J33" i="52"/>
  <c r="J44" i="52"/>
  <c r="AB62" i="46"/>
  <c r="AC62" i="46" s="1"/>
  <c r="AB56" i="46"/>
  <c r="AC56" i="46" s="1"/>
  <c r="X56" i="46"/>
  <c r="Y56" i="46" s="1"/>
  <c r="AB49" i="46"/>
  <c r="AC49" i="46" s="1"/>
  <c r="AB47" i="46"/>
  <c r="AC47" i="46" s="1"/>
  <c r="X44" i="46"/>
  <c r="AB37" i="46"/>
  <c r="AC37" i="46" s="1"/>
  <c r="E44" i="46"/>
  <c r="J41" i="53" l="1"/>
  <c r="I78" i="53"/>
  <c r="V81" i="58"/>
  <c r="V83" i="58" s="1"/>
  <c r="AB76" i="52"/>
  <c r="AC76" i="52" s="1"/>
  <c r="E35" i="27"/>
  <c r="E36" i="27" s="1"/>
  <c r="D35" i="27"/>
  <c r="D36" i="27" s="1"/>
  <c r="AA81" i="45"/>
  <c r="AA83" i="45" s="1"/>
  <c r="B34" i="27"/>
  <c r="L83" i="53"/>
  <c r="N83" i="53" s="1"/>
  <c r="O83" i="53" s="1"/>
  <c r="B14" i="27"/>
  <c r="B15" i="27" s="1"/>
  <c r="G79" i="52"/>
  <c r="G81" i="52" s="1"/>
  <c r="G83" i="52" s="1"/>
  <c r="I83" i="52" s="1"/>
  <c r="I76" i="46"/>
  <c r="J76" i="46" s="1"/>
  <c r="D76" i="46"/>
  <c r="D78" i="46" s="1"/>
  <c r="E78" i="46" s="1"/>
  <c r="V76" i="46"/>
  <c r="V78" i="46" s="1"/>
  <c r="W76" i="46"/>
  <c r="E41" i="46"/>
  <c r="C81" i="46"/>
  <c r="C83" i="46" s="1"/>
  <c r="X78" i="55"/>
  <c r="F15" i="27"/>
  <c r="B43" i="40"/>
  <c r="C36" i="27"/>
  <c r="W79" i="55"/>
  <c r="G31" i="27"/>
  <c r="I79" i="59"/>
  <c r="I81" i="59" s="1"/>
  <c r="H30" i="27"/>
  <c r="H31" i="27"/>
  <c r="I31" i="27"/>
  <c r="I30" i="27"/>
  <c r="J31" i="27"/>
  <c r="J30" i="27"/>
  <c r="W81" i="53"/>
  <c r="W83" i="53" s="1"/>
  <c r="X79" i="61"/>
  <c r="F19" i="27"/>
  <c r="AC76" i="45"/>
  <c r="S79" i="55"/>
  <c r="S81" i="55" s="1"/>
  <c r="T83" i="55" s="1"/>
  <c r="W25" i="46"/>
  <c r="W29" i="46" s="1"/>
  <c r="T25" i="53"/>
  <c r="S29" i="53"/>
  <c r="T29" i="53" s="1"/>
  <c r="AB24" i="46"/>
  <c r="AC24" i="46" s="1"/>
  <c r="T83" i="59"/>
  <c r="E83" i="53"/>
  <c r="N79" i="59"/>
  <c r="N81" i="59" s="1"/>
  <c r="I79" i="55"/>
  <c r="I81" i="55" s="1"/>
  <c r="V78" i="53"/>
  <c r="Y41" i="53"/>
  <c r="J83" i="59"/>
  <c r="S83" i="52"/>
  <c r="N83" i="52"/>
  <c r="J83" i="55"/>
  <c r="D79" i="45"/>
  <c r="D81" i="45" s="1"/>
  <c r="E83" i="45" s="1"/>
  <c r="S78" i="53"/>
  <c r="T78" i="53" s="1"/>
  <c r="Y76" i="53"/>
  <c r="E78" i="53"/>
  <c r="N79" i="55"/>
  <c r="N81" i="55" s="1"/>
  <c r="O83" i="55" s="1"/>
  <c r="E83" i="55"/>
  <c r="O78" i="45"/>
  <c r="N79" i="45"/>
  <c r="N81" i="45" s="1"/>
  <c r="O83" i="45" s="1"/>
  <c r="J78" i="45"/>
  <c r="I79" i="45"/>
  <c r="I81" i="45" s="1"/>
  <c r="T83" i="61"/>
  <c r="T78" i="58"/>
  <c r="S79" i="58"/>
  <c r="S81" i="58" s="1"/>
  <c r="I79" i="61"/>
  <c r="I81" i="61" s="1"/>
  <c r="J83" i="61" s="1"/>
  <c r="X29" i="58"/>
  <c r="Y29" i="58" s="1"/>
  <c r="O78" i="58"/>
  <c r="N79" i="58"/>
  <c r="N81" i="58" s="1"/>
  <c r="D79" i="59"/>
  <c r="D81" i="59" s="1"/>
  <c r="E83" i="59" s="1"/>
  <c r="J76" i="52"/>
  <c r="O78" i="48"/>
  <c r="N79" i="48"/>
  <c r="N81" i="48" s="1"/>
  <c r="O83" i="48" s="1"/>
  <c r="I79" i="48"/>
  <c r="I81" i="48" s="1"/>
  <c r="J83" i="48" s="1"/>
  <c r="X78" i="48"/>
  <c r="X79" i="48" s="1"/>
  <c r="X81" i="48" s="1"/>
  <c r="D79" i="48"/>
  <c r="D81" i="48" s="1"/>
  <c r="D83" i="48" s="1"/>
  <c r="E83" i="48" s="1"/>
  <c r="F36" i="27"/>
  <c r="J25" i="53"/>
  <c r="AA78" i="46"/>
  <c r="AA79" i="46" s="1"/>
  <c r="AA81" i="46" s="1"/>
  <c r="AA83" i="46" s="1"/>
  <c r="Y33" i="53"/>
  <c r="J78" i="58"/>
  <c r="I79" i="58"/>
  <c r="I81" i="58" s="1"/>
  <c r="J83" i="58" s="1"/>
  <c r="E78" i="58"/>
  <c r="D79" i="58"/>
  <c r="D81" i="58" s="1"/>
  <c r="E83" i="58" s="1"/>
  <c r="AC41" i="58"/>
  <c r="AB78" i="58"/>
  <c r="AC78" i="58" s="1"/>
  <c r="Y41" i="58"/>
  <c r="X78" i="58"/>
  <c r="W81" i="58"/>
  <c r="AB78" i="59"/>
  <c r="AC78" i="59" s="1"/>
  <c r="AC76" i="48"/>
  <c r="S79" i="48"/>
  <c r="S81" i="48" s="1"/>
  <c r="T83" i="48" s="1"/>
  <c r="Y25" i="48"/>
  <c r="X29" i="48"/>
  <c r="Y29" i="48" s="1"/>
  <c r="W81" i="48"/>
  <c r="W83" i="48" s="1"/>
  <c r="X83" i="48" s="1"/>
  <c r="V78" i="52"/>
  <c r="L83" i="61"/>
  <c r="O83" i="61" s="1"/>
  <c r="E78" i="45"/>
  <c r="AB35" i="46"/>
  <c r="AC35" i="46" s="1"/>
  <c r="AA29" i="46"/>
  <c r="D79" i="61"/>
  <c r="D81" i="61" s="1"/>
  <c r="E83" i="61" s="1"/>
  <c r="X65" i="46"/>
  <c r="Y65" i="46" s="1"/>
  <c r="X37" i="46"/>
  <c r="Y37" i="46" s="1"/>
  <c r="V81" i="55"/>
  <c r="V83" i="55" s="1"/>
  <c r="Y41" i="61"/>
  <c r="AB78" i="61"/>
  <c r="AC78" i="61" s="1"/>
  <c r="Y25" i="61"/>
  <c r="X29" i="61"/>
  <c r="Y29" i="61" s="1"/>
  <c r="X29" i="45"/>
  <c r="Y29" i="45" s="1"/>
  <c r="Y25" i="45"/>
  <c r="AB41" i="45"/>
  <c r="AB78" i="45" s="1"/>
  <c r="AC33" i="45"/>
  <c r="X78" i="45"/>
  <c r="Y41" i="45"/>
  <c r="AB33" i="46"/>
  <c r="AC33" i="46" s="1"/>
  <c r="H79" i="46"/>
  <c r="H81" i="46" s="1"/>
  <c r="H83" i="46" s="1"/>
  <c r="I41" i="46"/>
  <c r="G79" i="46"/>
  <c r="H36" i="27"/>
  <c r="X29" i="59"/>
  <c r="Y29" i="59" s="1"/>
  <c r="X78" i="59"/>
  <c r="Y78" i="59" s="1"/>
  <c r="W81" i="59"/>
  <c r="W83" i="59" s="1"/>
  <c r="X83" i="59" s="1"/>
  <c r="AB78" i="55"/>
  <c r="AC78" i="55" s="1"/>
  <c r="Y41" i="55"/>
  <c r="AB29" i="55"/>
  <c r="AC29" i="55" s="1"/>
  <c r="X29" i="55"/>
  <c r="Y29" i="55" s="1"/>
  <c r="Y25" i="55"/>
  <c r="AC25" i="55"/>
  <c r="X53" i="46"/>
  <c r="Y53" i="46" s="1"/>
  <c r="J76" i="53"/>
  <c r="I79" i="53"/>
  <c r="O76" i="53"/>
  <c r="N78" i="53"/>
  <c r="X57" i="46"/>
  <c r="Y57" i="46" s="1"/>
  <c r="X67" i="46"/>
  <c r="Y67" i="46" s="1"/>
  <c r="W41" i="46"/>
  <c r="AB38" i="46"/>
  <c r="AC38" i="46" s="1"/>
  <c r="AB76" i="46"/>
  <c r="AC76" i="46" s="1"/>
  <c r="I29" i="46"/>
  <c r="J29" i="46" s="1"/>
  <c r="J25" i="46"/>
  <c r="F28" i="27"/>
  <c r="B28" i="27"/>
  <c r="B23" i="27"/>
  <c r="F23" i="27"/>
  <c r="J41" i="52"/>
  <c r="S78" i="52"/>
  <c r="T41" i="52"/>
  <c r="AC44" i="52"/>
  <c r="AB41" i="52"/>
  <c r="AC33" i="52"/>
  <c r="E76" i="52"/>
  <c r="N78" i="52"/>
  <c r="O41" i="52"/>
  <c r="Y44" i="46"/>
  <c r="X76" i="52"/>
  <c r="Y76" i="52" s="1"/>
  <c r="Y44" i="52"/>
  <c r="Y33" i="46"/>
  <c r="X41" i="52"/>
  <c r="Y33" i="52"/>
  <c r="V79" i="53" l="1"/>
  <c r="V81" i="53" s="1"/>
  <c r="V83" i="53" s="1"/>
  <c r="X83" i="53" s="1"/>
  <c r="E31" i="27"/>
  <c r="E30" i="27"/>
  <c r="B35" i="27"/>
  <c r="B36" i="27" s="1"/>
  <c r="W83" i="58"/>
  <c r="X83" i="58" s="1"/>
  <c r="I32" i="27"/>
  <c r="W78" i="46"/>
  <c r="W79" i="46" s="1"/>
  <c r="W81" i="46" s="1"/>
  <c r="W83" i="46" s="1"/>
  <c r="X76" i="46"/>
  <c r="Y76" i="46" s="1"/>
  <c r="J41" i="46"/>
  <c r="I78" i="46"/>
  <c r="I79" i="46" s="1"/>
  <c r="I81" i="46" s="1"/>
  <c r="G81" i="46"/>
  <c r="G83" i="46" s="1"/>
  <c r="I83" i="46" s="1"/>
  <c r="J83" i="46" s="1"/>
  <c r="J32" i="27"/>
  <c r="G32" i="27"/>
  <c r="W81" i="55"/>
  <c r="W83" i="55" s="1"/>
  <c r="X83" i="55" s="1"/>
  <c r="Y83" i="55" s="1"/>
  <c r="H32" i="27"/>
  <c r="B19" i="27"/>
  <c r="F31" i="27"/>
  <c r="AB79" i="61"/>
  <c r="AB81" i="61" s="1"/>
  <c r="AB29" i="46"/>
  <c r="AC29" i="46" s="1"/>
  <c r="AB25" i="46"/>
  <c r="AC25" i="46" s="1"/>
  <c r="Y25" i="53"/>
  <c r="X78" i="53"/>
  <c r="Y78" i="53" s="1"/>
  <c r="S79" i="53"/>
  <c r="S81" i="53" s="1"/>
  <c r="T83" i="53" s="1"/>
  <c r="X79" i="45"/>
  <c r="X81" i="45" s="1"/>
  <c r="J83" i="45"/>
  <c r="Y78" i="61"/>
  <c r="X81" i="61"/>
  <c r="Y83" i="48"/>
  <c r="AB79" i="59"/>
  <c r="AB81" i="59" s="1"/>
  <c r="AB83" i="59" s="1"/>
  <c r="AC83" i="59" s="1"/>
  <c r="Y78" i="48"/>
  <c r="X29" i="53"/>
  <c r="Y29" i="53" s="1"/>
  <c r="AB79" i="58"/>
  <c r="AB81" i="58" s="1"/>
  <c r="AB83" i="58" s="1"/>
  <c r="AC83" i="58" s="1"/>
  <c r="Y78" i="58"/>
  <c r="X79" i="58"/>
  <c r="X81" i="58" s="1"/>
  <c r="AC78" i="48"/>
  <c r="AB79" i="48"/>
  <c r="AB81" i="48" s="1"/>
  <c r="AB83" i="48" s="1"/>
  <c r="AC83" i="48" s="1"/>
  <c r="E76" i="46"/>
  <c r="X41" i="46"/>
  <c r="Y78" i="45"/>
  <c r="AB79" i="45"/>
  <c r="AC41" i="45"/>
  <c r="X79" i="59"/>
  <c r="X81" i="59" s="1"/>
  <c r="Y83" i="59" s="1"/>
  <c r="AB79" i="55"/>
  <c r="AB81" i="55" s="1"/>
  <c r="AB83" i="55" s="1"/>
  <c r="X79" i="55"/>
  <c r="X81" i="55" s="1"/>
  <c r="Y78" i="55"/>
  <c r="AB41" i="46"/>
  <c r="AC41" i="46" s="1"/>
  <c r="O78" i="53"/>
  <c r="N79" i="53"/>
  <c r="N81" i="53" s="1"/>
  <c r="J78" i="53"/>
  <c r="I81" i="53"/>
  <c r="X78" i="52"/>
  <c r="Y41" i="52"/>
  <c r="N79" i="52"/>
  <c r="N81" i="52" s="1"/>
  <c r="O83" i="52" s="1"/>
  <c r="O78" i="52"/>
  <c r="E78" i="52"/>
  <c r="AB78" i="52"/>
  <c r="AB79" i="52" s="1"/>
  <c r="AC41" i="52"/>
  <c r="T78" i="52"/>
  <c r="S79" i="52"/>
  <c r="S81" i="52" s="1"/>
  <c r="T83" i="52" s="1"/>
  <c r="I79" i="52"/>
  <c r="I81" i="52" s="1"/>
  <c r="J83" i="52" s="1"/>
  <c r="J78" i="52"/>
  <c r="E32" i="27" l="1"/>
  <c r="B30" i="27"/>
  <c r="B31" i="27"/>
  <c r="Y83" i="58"/>
  <c r="Y41" i="46"/>
  <c r="X78" i="46"/>
  <c r="X79" i="53"/>
  <c r="X81" i="53" s="1"/>
  <c r="Y83" i="53" s="1"/>
  <c r="X83" i="61"/>
  <c r="Y83" i="61" s="1"/>
  <c r="AB83" i="61"/>
  <c r="AC83" i="61" s="1"/>
  <c r="AC83" i="55"/>
  <c r="AC81" i="55"/>
  <c r="AB81" i="45"/>
  <c r="AB83" i="45" s="1"/>
  <c r="AC83" i="45" s="1"/>
  <c r="AC78" i="45"/>
  <c r="J78" i="46"/>
  <c r="AB78" i="46"/>
  <c r="AC78" i="46" s="1"/>
  <c r="F32" i="27"/>
  <c r="AB81" i="52"/>
  <c r="AC78" i="52"/>
  <c r="Y78" i="52"/>
  <c r="AB83" i="52" l="1"/>
  <c r="AC83" i="52" s="1"/>
  <c r="Y78" i="46"/>
  <c r="AB79" i="46"/>
  <c r="AB81" i="46" s="1"/>
  <c r="AB83" i="46" s="1"/>
  <c r="AC83" i="46" s="1"/>
  <c r="B72" i="57"/>
  <c r="T29" i="65" l="1"/>
  <c r="Q81" i="65"/>
  <c r="Q83" i="65" s="1"/>
  <c r="S83" i="65" l="1"/>
  <c r="T83" i="65" s="1"/>
  <c r="W81" i="45"/>
  <c r="W83" i="45" s="1"/>
  <c r="X83" i="45" s="1"/>
  <c r="Y83" i="45" s="1"/>
  <c r="C32" i="27"/>
  <c r="B32" i="27" s="1"/>
  <c r="B25" i="52"/>
  <c r="B29" i="52" s="1"/>
  <c r="V14" i="52"/>
  <c r="X14" i="52" s="1"/>
  <c r="D14" i="52"/>
  <c r="E14" i="52" s="1"/>
  <c r="V25" i="52" l="1"/>
  <c r="V29" i="52" s="1"/>
  <c r="V25" i="46"/>
  <c r="X25" i="52"/>
  <c r="Y14" i="52"/>
  <c r="B79" i="52"/>
  <c r="B81" i="52" s="1"/>
  <c r="B83" i="52" s="1"/>
  <c r="D83" i="52" s="1"/>
  <c r="E83" i="52" s="1"/>
  <c r="B25" i="46"/>
  <c r="B79" i="46" s="1"/>
  <c r="D14" i="46"/>
  <c r="D25" i="52"/>
  <c r="V79" i="52" l="1"/>
  <c r="V81" i="52" s="1"/>
  <c r="V83" i="52" s="1"/>
  <c r="X83" i="52" s="1"/>
  <c r="Y83" i="52" s="1"/>
  <c r="B81" i="46"/>
  <c r="B83" i="46" s="1"/>
  <c r="D83" i="46" s="1"/>
  <c r="E83" i="46" s="1"/>
  <c r="E14" i="46"/>
  <c r="D25" i="46"/>
  <c r="X79" i="52"/>
  <c r="X81" i="52" s="1"/>
  <c r="X29" i="52"/>
  <c r="Y29" i="52" s="1"/>
  <c r="Y25" i="52"/>
  <c r="X25" i="46"/>
  <c r="Y14" i="46"/>
  <c r="D29" i="52"/>
  <c r="E29" i="52" s="1"/>
  <c r="D79" i="52"/>
  <c r="D81" i="52" s="1"/>
  <c r="E25" i="52"/>
  <c r="V29" i="46"/>
  <c r="V79" i="46"/>
  <c r="V81" i="46" s="1"/>
  <c r="V83" i="46" s="1"/>
  <c r="X83" i="46" s="1"/>
  <c r="Y83" i="46" s="1"/>
  <c r="X79" i="46" l="1"/>
  <c r="X81" i="46" s="1"/>
  <c r="Y25" i="46"/>
  <c r="X29" i="46"/>
  <c r="Y29" i="46" s="1"/>
  <c r="D79" i="46"/>
  <c r="D81" i="46" s="1"/>
  <c r="D29" i="46"/>
  <c r="E29" i="46" s="1"/>
  <c r="E25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Harding Hodge</author>
  </authors>
  <commentList>
    <comment ref="A8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Marisa Harding Hodge:</t>
        </r>
        <r>
          <rPr>
            <sz val="9"/>
            <color indexed="81"/>
            <rFont val="Tahoma"/>
            <family val="2"/>
          </rPr>
          <t xml:space="preserve">
This is for transfers of surpluses back to Government. Not for subvention</t>
        </r>
      </text>
    </comment>
  </commentList>
</comments>
</file>

<file path=xl/sharedStrings.xml><?xml version="1.0" encoding="utf-8"?>
<sst xmlns="http://schemas.openxmlformats.org/spreadsheetml/2006/main" count="1968" uniqueCount="192">
  <si>
    <t>STATEMENT OF FINANCIAL POSITION</t>
  </si>
  <si>
    <t xml:space="preserve">As at the Quarter ending </t>
  </si>
  <si>
    <t>UNAUDITED</t>
  </si>
  <si>
    <t>Qtr 4</t>
  </si>
  <si>
    <t>ASSETS</t>
  </si>
  <si>
    <t>Current Assets</t>
  </si>
  <si>
    <t>Cash and Cash Equivalents</t>
  </si>
  <si>
    <t>Trade Receivables</t>
  </si>
  <si>
    <t>Prepayments</t>
  </si>
  <si>
    <t>Staff Advances</t>
  </si>
  <si>
    <t>Other Receivables</t>
  </si>
  <si>
    <t>Inventories</t>
  </si>
  <si>
    <t>Total Current Assets</t>
  </si>
  <si>
    <t>Investments</t>
  </si>
  <si>
    <t>Property</t>
  </si>
  <si>
    <t>Bonds</t>
  </si>
  <si>
    <t>Stocks</t>
  </si>
  <si>
    <t>Long term Bank Deposits</t>
  </si>
  <si>
    <t>Others</t>
  </si>
  <si>
    <t>Total Investments</t>
  </si>
  <si>
    <t>Fixed Assets (Property, Plant &amp; Equipment)</t>
  </si>
  <si>
    <t>Buildings and Improvements</t>
  </si>
  <si>
    <t>Furniture &amp; Fittings</t>
  </si>
  <si>
    <t>Office equipment</t>
  </si>
  <si>
    <t>Computer Equipment</t>
  </si>
  <si>
    <t>Motor Vehicles</t>
  </si>
  <si>
    <t>Other Plant &amp; Equipment</t>
  </si>
  <si>
    <t>Total Property, Plant &amp; Equipment</t>
  </si>
  <si>
    <t>Intangible Assets</t>
  </si>
  <si>
    <t>TOTAL ASSETS</t>
  </si>
  <si>
    <t>EQUITY AND LIABILITIES</t>
  </si>
  <si>
    <t>Current Liabilities</t>
  </si>
  <si>
    <t>Accounts Payables</t>
  </si>
  <si>
    <t>Other Stat Body</t>
  </si>
  <si>
    <t>Other Commercial</t>
  </si>
  <si>
    <t>Accruals</t>
  </si>
  <si>
    <t>Borrowing - Short term</t>
  </si>
  <si>
    <t>Deferred Income</t>
  </si>
  <si>
    <t>Total Current Liabilities</t>
  </si>
  <si>
    <t>Long Term liabilities</t>
  </si>
  <si>
    <t>Other</t>
  </si>
  <si>
    <t>Total Long Term Liabilities</t>
  </si>
  <si>
    <t xml:space="preserve">Equity </t>
  </si>
  <si>
    <t>Capital/Reserve Fund</t>
  </si>
  <si>
    <t>Loan Redemption Sinking Fund</t>
  </si>
  <si>
    <t>Other reserves</t>
  </si>
  <si>
    <t>Retained Surplus for the year</t>
  </si>
  <si>
    <t>Total Equity</t>
  </si>
  <si>
    <t>TOTAL LIABILITIES AND EQUITY</t>
  </si>
  <si>
    <t>GOVERNMENT OF ANGUILLA</t>
  </si>
  <si>
    <t>ASSB</t>
  </si>
  <si>
    <t>STATEMENT OF COMPREHENSIVE INCOME</t>
  </si>
  <si>
    <t xml:space="preserve">For the Quarter ending </t>
  </si>
  <si>
    <t>Quarter 1</t>
  </si>
  <si>
    <t>Quarter 2</t>
  </si>
  <si>
    <t>Quarter 3</t>
  </si>
  <si>
    <t>Quarter 4</t>
  </si>
  <si>
    <t>YEAR TO DATE</t>
  </si>
  <si>
    <t>Note reference to support the accompanying report on financial performance for the quarter.</t>
  </si>
  <si>
    <t>Description</t>
  </si>
  <si>
    <t>Budget</t>
  </si>
  <si>
    <t>Actual</t>
  </si>
  <si>
    <t>Variance Fav/(Unfav)</t>
  </si>
  <si>
    <t>Budget / Estimate</t>
  </si>
  <si>
    <t>Budget Remaining</t>
  </si>
  <si>
    <t>%</t>
  </si>
  <si>
    <t>INCOME</t>
  </si>
  <si>
    <t>Sale of Goods</t>
  </si>
  <si>
    <t>Rental Income</t>
  </si>
  <si>
    <t>Interest Income</t>
  </si>
  <si>
    <t>Donations and Other Grants</t>
  </si>
  <si>
    <t>Other Operational Income</t>
  </si>
  <si>
    <t>Transactions between Statutory Bodies</t>
  </si>
  <si>
    <t>Total Operational Income</t>
  </si>
  <si>
    <t>Capital Grants</t>
  </si>
  <si>
    <t>Total Income and Grants</t>
  </si>
  <si>
    <t>EXPENDITURE</t>
  </si>
  <si>
    <t>Personnel Costs</t>
  </si>
  <si>
    <t>Salaries</t>
  </si>
  <si>
    <t>Wages</t>
  </si>
  <si>
    <t>Allowances</t>
  </si>
  <si>
    <t>Pension and Gratuities</t>
  </si>
  <si>
    <t>Directors' fees and expenses</t>
  </si>
  <si>
    <t>Total Personnel Costs</t>
  </si>
  <si>
    <t>Operational Expenditure</t>
  </si>
  <si>
    <t>Advertising and Promotions</t>
  </si>
  <si>
    <t>Bank Charges</t>
  </si>
  <si>
    <t>Board Expenses</t>
  </si>
  <si>
    <t>Communications Expenses</t>
  </si>
  <si>
    <t>Computer License Software and Hardware Maintenance</t>
  </si>
  <si>
    <t>Expenditure paid to other Government Entities</t>
  </si>
  <si>
    <t>Hosting and Entertainment</t>
  </si>
  <si>
    <t>Insurance</t>
  </si>
  <si>
    <t>International Travel and Subsistence</t>
  </si>
  <si>
    <t>Local Travel and Subsistence</t>
  </si>
  <si>
    <t>Maintenance Expenses</t>
  </si>
  <si>
    <t>Office Expenses</t>
  </si>
  <si>
    <t>Subscriptions and Contributions</t>
  </si>
  <si>
    <t>Subscriptions, Periodicals, Books, etc.</t>
  </si>
  <si>
    <t>Training</t>
  </si>
  <si>
    <t>Uniforms &amp; Protective Clothing</t>
  </si>
  <si>
    <t>Utilities</t>
  </si>
  <si>
    <t>Total Operational Expenditure</t>
  </si>
  <si>
    <t>Total Expenditure</t>
  </si>
  <si>
    <t>GOVERNMENT Transfer</t>
  </si>
  <si>
    <t xml:space="preserve">Net Surplus/Deficit - after GOA Transfer </t>
  </si>
  <si>
    <t>Social Security Contributions</t>
  </si>
  <si>
    <t>EC $</t>
  </si>
  <si>
    <t>GOA - Interim Stabilization Levy</t>
  </si>
  <si>
    <t>GOA-Other</t>
  </si>
  <si>
    <t>Other Operating Expenses</t>
  </si>
  <si>
    <t>Dues and Charges</t>
  </si>
  <si>
    <t>Subvention from GOA</t>
  </si>
  <si>
    <t>Debt Service Interests</t>
  </si>
  <si>
    <t>Rental of Equipment</t>
  </si>
  <si>
    <t>Rental of Property</t>
  </si>
  <si>
    <t>Sundry Expenses</t>
  </si>
  <si>
    <t>Borrowing</t>
  </si>
  <si>
    <t>Promissory Note (ASSB)/DPT</t>
  </si>
  <si>
    <t>Long term Loans</t>
  </si>
  <si>
    <t>Water Production Costs (WCA)</t>
  </si>
  <si>
    <t>Short Term Benefits (ASSB)</t>
  </si>
  <si>
    <t>Professional and Consultancy Services</t>
  </si>
  <si>
    <t>Pension &amp; Long Term Benefits (ASSB &amp; PSPF )</t>
  </si>
  <si>
    <t>Other Supplies, Materials and Equipment</t>
  </si>
  <si>
    <t>Drugs and Medical Supplies</t>
  </si>
  <si>
    <t>Depreciation and Amortization</t>
  </si>
  <si>
    <t>Bad Debt write off/ increase provisions</t>
  </si>
  <si>
    <t>Auditing and Accounting</t>
  </si>
  <si>
    <t>Rewards &amp; Incentives</t>
  </si>
  <si>
    <t>Staff Medical Insurance</t>
  </si>
  <si>
    <t>Pension and Benefit Contributions (ASSB &amp; PSPF)</t>
  </si>
  <si>
    <t>Operational Fees</t>
  </si>
  <si>
    <t xml:space="preserve">CONSOLIDATED STAT BODY </t>
  </si>
  <si>
    <t>AFSC</t>
  </si>
  <si>
    <t>ANT</t>
  </si>
  <si>
    <t>CONSOLIDATED</t>
  </si>
  <si>
    <t>AASPA</t>
  </si>
  <si>
    <t>ATB</t>
  </si>
  <si>
    <t>PSPF</t>
  </si>
  <si>
    <t>SA</t>
  </si>
  <si>
    <t>ADB</t>
  </si>
  <si>
    <t>Total Liabilities to Total Assets Ratio</t>
  </si>
  <si>
    <t>Total Liabilities</t>
  </si>
  <si>
    <t>Total Assets</t>
  </si>
  <si>
    <t>Financial Assets</t>
  </si>
  <si>
    <t>Current Ratio</t>
  </si>
  <si>
    <t>Financial Assets to Total Liabilities Ratio</t>
  </si>
  <si>
    <t>Inventory</t>
  </si>
  <si>
    <t>Quick Ratio</t>
  </si>
  <si>
    <t xml:space="preserve">Quick Ratio- </t>
  </si>
  <si>
    <t>Financial Result (Surplus/Deficit)</t>
  </si>
  <si>
    <t>Borrowing to Assets Ratio</t>
  </si>
  <si>
    <t>Total Debt</t>
  </si>
  <si>
    <t>Surplus</t>
  </si>
  <si>
    <t>Deficit</t>
  </si>
  <si>
    <t>Dividends paid to Central Government</t>
  </si>
  <si>
    <t>PUC</t>
  </si>
  <si>
    <t>ACC</t>
  </si>
  <si>
    <t>ANGUILLA DEVELOPMENT BOARD</t>
  </si>
  <si>
    <t>Opening</t>
  </si>
  <si>
    <t>Qtr 1</t>
  </si>
  <si>
    <t>Qtr 2</t>
  </si>
  <si>
    <t>Qtr 3</t>
  </si>
  <si>
    <t>GOA - Universal Social Levy</t>
  </si>
  <si>
    <t>PLEASE DO NOT ADJUST LINE ITEMS</t>
  </si>
  <si>
    <t>Operating Deficit/Surplus before Capital Projects</t>
  </si>
  <si>
    <t>Capital Projects</t>
  </si>
  <si>
    <t>Operating Deficit /Surplus after Capital Projects</t>
  </si>
  <si>
    <t>Please do not adjust line items</t>
  </si>
  <si>
    <t>ANGUILLA NATIONAL TRUST</t>
  </si>
  <si>
    <t>PUBLIC UTILITIES COMMISSION</t>
  </si>
  <si>
    <t xml:space="preserve">ANGUILLA COMMUNITY COLLEGE </t>
  </si>
  <si>
    <t>ANGUILLA AIR &amp; SEAPORTS AUTHORITY</t>
  </si>
  <si>
    <t xml:space="preserve">CONSOLIDATED </t>
  </si>
  <si>
    <t>Water Production costs (WCA)</t>
  </si>
  <si>
    <t>Pension and Long Term Benefits (ASSB &amp; PSPF)</t>
  </si>
  <si>
    <t>Drugs, Medical and Laboratory Supplies</t>
  </si>
  <si>
    <t>Depreciation and Amortisation</t>
  </si>
  <si>
    <t>Debt service Interests</t>
  </si>
  <si>
    <t>Bad debt write off/increase provisions</t>
  </si>
  <si>
    <t>ANGUILLA TOURIST BOARD</t>
  </si>
  <si>
    <t>PLEASE DO NOT ADJUST THE LINE ITEMS</t>
  </si>
  <si>
    <t>ANGUILLA SOCIAL SECURITY BOARD</t>
  </si>
  <si>
    <t>PUBLIC SERVICE PENSION FUND</t>
  </si>
  <si>
    <t>ANGUILLA FINANCIAL SERVICES COMMISSION</t>
  </si>
  <si>
    <t>`</t>
  </si>
  <si>
    <t xml:space="preserve">GST Refund </t>
  </si>
  <si>
    <t>GST Refund</t>
  </si>
  <si>
    <t>The effect of the cummulative favorable variances</t>
  </si>
  <si>
    <t>2025 ANNUAL BUDGET</t>
  </si>
  <si>
    <t>DECEMBER 31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</si>
</sst>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d&quot;-&quot;mmm&quot;-&quot;yyyy"/>
    <numFmt numFmtId="165" formatCode="&quot; &quot;* #,##0&quot; &quot;;&quot; &quot;* \(#,##0\);&quot; &quot;* &quot;- &quot;"/>
    <numFmt numFmtId="166" formatCode="#,##0.00,,"/>
    <numFmt numFmtId="167" formatCode="_(* #,##0_);_(* \(#,##0\);_(* &quot;-&quot;??_);_(@_)"/>
    <numFmt numFmtId="168" formatCode="0.0000"/>
    <numFmt numFmtId="169" formatCode="#,##0.0000,,"/>
    <numFmt numFmtId="170" formatCode="0.0"/>
    <numFmt numFmtId="171" formatCode="#,##0.0000000,,"/>
    <numFmt numFmtId="172" formatCode="_-* #,##0.00_-;\-* #,##0.00_-;_-* &quot;-&quot;??_-;_-@_-"/>
    <numFmt numFmtId="173" formatCode="0.00000000"/>
  </numFmts>
  <fonts count="4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11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11"/>
      <name val="Calibri"/>
      <family val="2"/>
      <scheme val="minor"/>
    </font>
    <font>
      <sz val="14"/>
      <color indexed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indexed="11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4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Courie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auto="1"/>
      </patternFill>
    </fill>
  </fills>
  <borders count="2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9" fillId="0" borderId="0"/>
    <xf numFmtId="43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7" fillId="0" borderId="0"/>
    <xf numFmtId="172" fontId="9" fillId="0" borderId="0" applyFont="0" applyFill="0" applyBorder="0" applyAlignment="0" applyProtection="0"/>
    <xf numFmtId="0" fontId="34" fillId="0" borderId="0"/>
    <xf numFmtId="0" fontId="9" fillId="0" borderId="0"/>
  </cellStyleXfs>
  <cellXfs count="1794">
    <xf numFmtId="0" fontId="0" fillId="0" borderId="0" xfId="0"/>
    <xf numFmtId="164" fontId="0" fillId="2" borderId="4" xfId="0" applyNumberFormat="1" applyFill="1" applyBorder="1"/>
    <xf numFmtId="164" fontId="1" fillId="2" borderId="0" xfId="0" applyNumberFormat="1" applyFont="1" applyFill="1" applyAlignment="1">
      <alignment vertical="center"/>
    </xf>
    <xf numFmtId="0" fontId="6" fillId="0" borderId="0" xfId="0" applyFont="1"/>
    <xf numFmtId="164" fontId="7" fillId="4" borderId="9" xfId="0" applyNumberFormat="1" applyFont="1" applyFill="1" applyBorder="1" applyAlignment="1">
      <alignment horizontal="center" vertical="center"/>
    </xf>
    <xf numFmtId="49" fontId="7" fillId="4" borderId="1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/>
    <xf numFmtId="164" fontId="7" fillId="4" borderId="8" xfId="0" applyNumberFormat="1" applyFont="1" applyFill="1" applyBorder="1"/>
    <xf numFmtId="164" fontId="7" fillId="4" borderId="28" xfId="0" applyNumberFormat="1" applyFont="1" applyFill="1" applyBorder="1"/>
    <xf numFmtId="49" fontId="7" fillId="2" borderId="29" xfId="0" applyNumberFormat="1" applyFont="1" applyFill="1" applyBorder="1"/>
    <xf numFmtId="49" fontId="7" fillId="2" borderId="4" xfId="0" applyNumberFormat="1" applyFont="1" applyFill="1" applyBorder="1"/>
    <xf numFmtId="49" fontId="8" fillId="2" borderId="4" xfId="0" applyNumberFormat="1" applyFont="1" applyFill="1" applyBorder="1"/>
    <xf numFmtId="49" fontId="3" fillId="2" borderId="4" xfId="0" applyNumberFormat="1" applyFont="1" applyFill="1" applyBorder="1"/>
    <xf numFmtId="49" fontId="3" fillId="2" borderId="30" xfId="0" applyNumberFormat="1" applyFont="1" applyFill="1" applyBorder="1"/>
    <xf numFmtId="49" fontId="7" fillId="4" borderId="32" xfId="0" applyNumberFormat="1" applyFont="1" applyFill="1" applyBorder="1"/>
    <xf numFmtId="164" fontId="3" fillId="2" borderId="35" xfId="0" applyNumberFormat="1" applyFont="1" applyFill="1" applyBorder="1"/>
    <xf numFmtId="49" fontId="2" fillId="2" borderId="4" xfId="0" applyNumberFormat="1" applyFont="1" applyFill="1" applyBorder="1"/>
    <xf numFmtId="49" fontId="0" fillId="2" borderId="4" xfId="0" applyNumberFormat="1" applyFill="1" applyBorder="1"/>
    <xf numFmtId="49" fontId="0" fillId="2" borderId="30" xfId="0" applyNumberFormat="1" applyFill="1" applyBorder="1"/>
    <xf numFmtId="164" fontId="2" fillId="2" borderId="35" xfId="0" applyNumberFormat="1" applyFont="1" applyFill="1" applyBorder="1"/>
    <xf numFmtId="164" fontId="4" fillId="2" borderId="30" xfId="0" applyNumberFormat="1" applyFont="1" applyFill="1" applyBorder="1"/>
    <xf numFmtId="164" fontId="4" fillId="2" borderId="35" xfId="0" applyNumberFormat="1" applyFont="1" applyFill="1" applyBorder="1"/>
    <xf numFmtId="164" fontId="8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4" fontId="8" fillId="2" borderId="35" xfId="0" applyNumberFormat="1" applyFont="1" applyFill="1" applyBorder="1"/>
    <xf numFmtId="164" fontId="0" fillId="2" borderId="30" xfId="0" applyNumberFormat="1" applyFill="1" applyBorder="1"/>
    <xf numFmtId="164" fontId="8" fillId="2" borderId="32" xfId="0" applyNumberFormat="1" applyFont="1" applyFill="1" applyBorder="1"/>
    <xf numFmtId="49" fontId="7" fillId="4" borderId="37" xfId="0" applyNumberFormat="1" applyFont="1" applyFill="1" applyBorder="1" applyAlignment="1">
      <alignment wrapText="1"/>
    </xf>
    <xf numFmtId="168" fontId="0" fillId="0" borderId="0" xfId="0" applyNumberFormat="1"/>
    <xf numFmtId="169" fontId="0" fillId="0" borderId="0" xfId="0" applyNumberFormat="1"/>
    <xf numFmtId="169" fontId="0" fillId="2" borderId="0" xfId="0" applyNumberFormat="1" applyFill="1"/>
    <xf numFmtId="169" fontId="6" fillId="0" borderId="0" xfId="0" applyNumberFormat="1" applyFont="1"/>
    <xf numFmtId="168" fontId="6" fillId="0" borderId="0" xfId="0" applyNumberFormat="1" applyFont="1"/>
    <xf numFmtId="3" fontId="0" fillId="0" borderId="0" xfId="0" applyNumberFormat="1"/>
    <xf numFmtId="164" fontId="2" fillId="2" borderId="0" xfId="0" applyNumberFormat="1" applyFont="1" applyFill="1"/>
    <xf numFmtId="164" fontId="2" fillId="2" borderId="7" xfId="0" applyNumberFormat="1" applyFont="1" applyFill="1" applyBorder="1"/>
    <xf numFmtId="49" fontId="7" fillId="4" borderId="10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/>
    </xf>
    <xf numFmtId="43" fontId="0" fillId="0" borderId="0" xfId="1" applyFont="1" applyAlignment="1"/>
    <xf numFmtId="43" fontId="0" fillId="0" borderId="0" xfId="0" applyNumberFormat="1"/>
    <xf numFmtId="170" fontId="0" fillId="0" borderId="0" xfId="0" applyNumberFormat="1"/>
    <xf numFmtId="2" fontId="0" fillId="0" borderId="0" xfId="0" applyNumberFormat="1"/>
    <xf numFmtId="169" fontId="16" fillId="2" borderId="0" xfId="0" applyNumberFormat="1" applyFont="1" applyFill="1" applyAlignment="1">
      <alignment vertical="center"/>
    </xf>
    <xf numFmtId="169" fontId="19" fillId="0" borderId="0" xfId="0" applyNumberFormat="1" applyFont="1"/>
    <xf numFmtId="168" fontId="19" fillId="0" borderId="0" xfId="0" applyNumberFormat="1" applyFont="1"/>
    <xf numFmtId="0" fontId="19" fillId="0" borderId="0" xfId="0" applyFont="1"/>
    <xf numFmtId="164" fontId="19" fillId="2" borderId="4" xfId="0" applyNumberFormat="1" applyFont="1" applyFill="1" applyBorder="1"/>
    <xf numFmtId="168" fontId="21" fillId="0" borderId="0" xfId="0" applyNumberFormat="1" applyFont="1"/>
    <xf numFmtId="0" fontId="21" fillId="0" borderId="0" xfId="0" applyFont="1"/>
    <xf numFmtId="164" fontId="16" fillId="2" borderId="4" xfId="0" applyNumberFormat="1" applyFont="1" applyFill="1" applyBorder="1"/>
    <xf numFmtId="168" fontId="22" fillId="0" borderId="0" xfId="0" applyNumberFormat="1" applyFont="1" applyAlignment="1">
      <alignment horizontal="center"/>
    </xf>
    <xf numFmtId="164" fontId="17" fillId="4" borderId="21" xfId="0" applyNumberFormat="1" applyFont="1" applyFill="1" applyBorder="1" applyAlignment="1">
      <alignment horizontal="center" vertical="center"/>
    </xf>
    <xf numFmtId="169" fontId="17" fillId="4" borderId="10" xfId="0" applyNumberFormat="1" applyFont="1" applyFill="1" applyBorder="1" applyAlignment="1">
      <alignment horizontal="center" vertical="center" wrapText="1"/>
    </xf>
    <xf numFmtId="14" fontId="17" fillId="4" borderId="17" xfId="0" applyNumberFormat="1" applyFont="1" applyFill="1" applyBorder="1"/>
    <xf numFmtId="14" fontId="17" fillId="4" borderId="11" xfId="0" applyNumberFormat="1" applyFont="1" applyFill="1" applyBorder="1" applyAlignment="1">
      <alignment horizontal="center"/>
    </xf>
    <xf numFmtId="14" fontId="19" fillId="0" borderId="0" xfId="0" applyNumberFormat="1" applyFont="1"/>
    <xf numFmtId="164" fontId="17" fillId="4" borderId="25" xfId="0" applyNumberFormat="1" applyFont="1" applyFill="1" applyBorder="1"/>
    <xf numFmtId="168" fontId="17" fillId="4" borderId="27" xfId="0" applyNumberFormat="1" applyFont="1" applyFill="1" applyBorder="1" applyAlignment="1">
      <alignment horizontal="center"/>
    </xf>
    <xf numFmtId="49" fontId="17" fillId="2" borderId="21" xfId="0" applyNumberFormat="1" applyFont="1" applyFill="1" applyBorder="1"/>
    <xf numFmtId="168" fontId="19" fillId="5" borderId="22" xfId="0" applyNumberFormat="1" applyFont="1" applyFill="1" applyBorder="1"/>
    <xf numFmtId="49" fontId="17" fillId="2" borderId="17" xfId="0" applyNumberFormat="1" applyFont="1" applyFill="1" applyBorder="1"/>
    <xf numFmtId="169" fontId="23" fillId="2" borderId="11" xfId="0" applyNumberFormat="1" applyFont="1" applyFill="1" applyBorder="1"/>
    <xf numFmtId="168" fontId="19" fillId="5" borderId="0" xfId="0" applyNumberFormat="1" applyFont="1" applyFill="1"/>
    <xf numFmtId="49" fontId="21" fillId="2" borderId="17" xfId="0" applyNumberFormat="1" applyFont="1" applyFill="1" applyBorder="1"/>
    <xf numFmtId="49" fontId="19" fillId="0" borderId="0" xfId="0" applyNumberFormat="1" applyFont="1"/>
    <xf numFmtId="49" fontId="23" fillId="2" borderId="17" xfId="0" applyNumberFormat="1" applyFont="1" applyFill="1" applyBorder="1"/>
    <xf numFmtId="49" fontId="23" fillId="2" borderId="25" xfId="0" applyNumberFormat="1" applyFont="1" applyFill="1" applyBorder="1"/>
    <xf numFmtId="164" fontId="23" fillId="2" borderId="21" xfId="0" applyNumberFormat="1" applyFont="1" applyFill="1" applyBorder="1"/>
    <xf numFmtId="49" fontId="16" fillId="2" borderId="17" xfId="0" applyNumberFormat="1" applyFont="1" applyFill="1" applyBorder="1"/>
    <xf numFmtId="3" fontId="19" fillId="2" borderId="10" xfId="0" applyNumberFormat="1" applyFont="1" applyFill="1" applyBorder="1"/>
    <xf numFmtId="3" fontId="22" fillId="2" borderId="11" xfId="0" applyNumberFormat="1" applyFont="1" applyFill="1" applyBorder="1"/>
    <xf numFmtId="49" fontId="19" fillId="2" borderId="11" xfId="0" applyNumberFormat="1" applyFont="1" applyFill="1" applyBorder="1"/>
    <xf numFmtId="3" fontId="19" fillId="2" borderId="21" xfId="0" applyNumberFormat="1" applyFont="1" applyFill="1" applyBorder="1"/>
    <xf numFmtId="3" fontId="19" fillId="2" borderId="17" xfId="0" applyNumberFormat="1" applyFont="1" applyFill="1" applyBorder="1"/>
    <xf numFmtId="3" fontId="19" fillId="2" borderId="25" xfId="0" applyNumberFormat="1" applyFont="1" applyFill="1" applyBorder="1"/>
    <xf numFmtId="164" fontId="24" fillId="2" borderId="21" xfId="0" applyNumberFormat="1" applyFont="1" applyFill="1" applyBorder="1"/>
    <xf numFmtId="164" fontId="21" fillId="2" borderId="17" xfId="0" applyNumberFormat="1" applyFont="1" applyFill="1" applyBorder="1"/>
    <xf numFmtId="49" fontId="19" fillId="2" borderId="17" xfId="0" applyNumberFormat="1" applyFont="1" applyFill="1" applyBorder="1"/>
    <xf numFmtId="49" fontId="23" fillId="2" borderId="17" xfId="0" applyNumberFormat="1" applyFont="1" applyFill="1" applyBorder="1" applyAlignment="1">
      <alignment horizontal="left"/>
    </xf>
    <xf numFmtId="49" fontId="19" fillId="2" borderId="25" xfId="0" applyNumberFormat="1" applyFont="1" applyFill="1" applyBorder="1"/>
    <xf numFmtId="164" fontId="21" fillId="2" borderId="21" xfId="0" applyNumberFormat="1" applyFont="1" applyFill="1" applyBorder="1"/>
    <xf numFmtId="164" fontId="21" fillId="2" borderId="19" xfId="0" applyNumberFormat="1" applyFont="1" applyFill="1" applyBorder="1"/>
    <xf numFmtId="169" fontId="16" fillId="5" borderId="2" xfId="0" applyNumberFormat="1" applyFont="1" applyFill="1" applyBorder="1" applyAlignment="1">
      <alignment vertical="center"/>
    </xf>
    <xf numFmtId="9" fontId="16" fillId="5" borderId="2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vertical="center"/>
    </xf>
    <xf numFmtId="169" fontId="16" fillId="2" borderId="2" xfId="0" applyNumberFormat="1" applyFont="1" applyFill="1" applyBorder="1" applyAlignment="1">
      <alignment vertical="center"/>
    </xf>
    <xf numFmtId="9" fontId="16" fillId="2" borderId="2" xfId="2" applyFont="1" applyFill="1" applyBorder="1" applyAlignment="1">
      <alignment vertical="center"/>
    </xf>
    <xf numFmtId="169" fontId="16" fillId="5" borderId="2" xfId="0" applyNumberFormat="1" applyFont="1" applyFill="1" applyBorder="1" applyAlignment="1">
      <alignment horizontal="center" vertical="center"/>
    </xf>
    <xf numFmtId="9" fontId="16" fillId="5" borderId="2" xfId="2" applyFont="1" applyFill="1" applyBorder="1" applyAlignment="1">
      <alignment horizontal="center" vertical="center"/>
    </xf>
    <xf numFmtId="169" fontId="16" fillId="5" borderId="0" xfId="0" applyNumberFormat="1" applyFont="1" applyFill="1" applyAlignment="1">
      <alignment vertical="center"/>
    </xf>
    <xf numFmtId="9" fontId="16" fillId="5" borderId="0" xfId="0" applyNumberFormat="1" applyFont="1" applyFill="1" applyAlignment="1">
      <alignment vertical="center"/>
    </xf>
    <xf numFmtId="164" fontId="16" fillId="5" borderId="0" xfId="0" applyNumberFormat="1" applyFont="1" applyFill="1" applyAlignment="1">
      <alignment vertical="center"/>
    </xf>
    <xf numFmtId="164" fontId="16" fillId="2" borderId="0" xfId="0" applyNumberFormat="1" applyFont="1" applyFill="1" applyAlignment="1">
      <alignment vertical="center"/>
    </xf>
    <xf numFmtId="9" fontId="16" fillId="2" borderId="0" xfId="2" applyFont="1" applyFill="1" applyBorder="1" applyAlignment="1">
      <alignment vertical="center"/>
    </xf>
    <xf numFmtId="169" fontId="16" fillId="5" borderId="0" xfId="0" applyNumberFormat="1" applyFont="1" applyFill="1" applyAlignment="1">
      <alignment horizontal="center" vertical="center"/>
    </xf>
    <xf numFmtId="9" fontId="16" fillId="5" borderId="0" xfId="2" applyFont="1" applyFill="1" applyBorder="1" applyAlignment="1">
      <alignment horizontal="center" vertical="center"/>
    </xf>
    <xf numFmtId="169" fontId="17" fillId="5" borderId="0" xfId="0" applyNumberFormat="1" applyFont="1" applyFill="1" applyAlignment="1">
      <alignment vertical="center"/>
    </xf>
    <xf numFmtId="9" fontId="17" fillId="5" borderId="0" xfId="0" applyNumberFormat="1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169" fontId="17" fillId="2" borderId="0" xfId="0" applyNumberFormat="1" applyFont="1" applyFill="1" applyAlignment="1">
      <alignment vertical="center"/>
    </xf>
    <xf numFmtId="9" fontId="17" fillId="2" borderId="0" xfId="2" applyFont="1" applyFill="1" applyBorder="1" applyAlignment="1">
      <alignment vertical="center"/>
    </xf>
    <xf numFmtId="169" fontId="17" fillId="5" borderId="0" xfId="0" applyNumberFormat="1" applyFont="1" applyFill="1" applyAlignment="1">
      <alignment horizontal="center" vertical="center"/>
    </xf>
    <xf numFmtId="9" fontId="17" fillId="5" borderId="0" xfId="2" applyFont="1" applyFill="1" applyBorder="1" applyAlignment="1">
      <alignment horizontal="center" vertical="center"/>
    </xf>
    <xf numFmtId="164" fontId="23" fillId="2" borderId="0" xfId="0" applyNumberFormat="1" applyFont="1" applyFill="1" applyAlignment="1">
      <alignment horizontal="left" vertical="center"/>
    </xf>
    <xf numFmtId="169" fontId="23" fillId="2" borderId="0" xfId="0" applyNumberFormat="1" applyFont="1" applyFill="1" applyAlignment="1">
      <alignment horizontal="left" vertical="center"/>
    </xf>
    <xf numFmtId="9" fontId="23" fillId="2" borderId="0" xfId="2" applyFont="1" applyFill="1" applyBorder="1" applyAlignment="1">
      <alignment horizontal="left" vertical="center"/>
    </xf>
    <xf numFmtId="169" fontId="23" fillId="5" borderId="0" xfId="0" applyNumberFormat="1" applyFont="1" applyFill="1" applyAlignment="1">
      <alignment horizontal="left" vertical="center"/>
    </xf>
    <xf numFmtId="169" fontId="23" fillId="5" borderId="0" xfId="0" applyNumberFormat="1" applyFont="1" applyFill="1" applyAlignment="1">
      <alignment vertical="center"/>
    </xf>
    <xf numFmtId="9" fontId="23" fillId="5" borderId="0" xfId="2" applyFont="1" applyFill="1" applyBorder="1" applyAlignment="1">
      <alignment vertical="center"/>
    </xf>
    <xf numFmtId="164" fontId="21" fillId="2" borderId="0" xfId="0" applyNumberFormat="1" applyFont="1" applyFill="1" applyAlignment="1">
      <alignment horizontal="left" vertical="center"/>
    </xf>
    <xf numFmtId="169" fontId="21" fillId="2" borderId="0" xfId="0" applyNumberFormat="1" applyFont="1" applyFill="1" applyAlignment="1">
      <alignment horizontal="left" vertical="center"/>
    </xf>
    <xf numFmtId="9" fontId="21" fillId="2" borderId="0" xfId="2" applyFont="1" applyFill="1" applyBorder="1" applyAlignment="1">
      <alignment horizontal="left" vertical="center"/>
    </xf>
    <xf numFmtId="169" fontId="21" fillId="5" borderId="0" xfId="0" applyNumberFormat="1" applyFont="1" applyFill="1" applyAlignment="1">
      <alignment horizontal="left" vertical="center"/>
    </xf>
    <xf numFmtId="169" fontId="21" fillId="5" borderId="0" xfId="0" applyNumberFormat="1" applyFont="1" applyFill="1" applyAlignment="1">
      <alignment vertical="center"/>
    </xf>
    <xf numFmtId="9" fontId="21" fillId="5" borderId="0" xfId="2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69" fontId="19" fillId="5" borderId="2" xfId="0" applyNumberFormat="1" applyFont="1" applyFill="1" applyBorder="1" applyAlignment="1">
      <alignment vertical="center"/>
    </xf>
    <xf numFmtId="169" fontId="19" fillId="2" borderId="2" xfId="0" applyNumberFormat="1" applyFont="1" applyFill="1" applyBorder="1" applyAlignment="1">
      <alignment vertical="center"/>
    </xf>
    <xf numFmtId="9" fontId="19" fillId="2" borderId="2" xfId="2" applyFont="1" applyFill="1" applyBorder="1" applyAlignment="1">
      <alignment vertical="center"/>
    </xf>
    <xf numFmtId="164" fontId="19" fillId="2" borderId="3" xfId="0" applyNumberFormat="1" applyFont="1" applyFill="1" applyBorder="1" applyAlignment="1">
      <alignment vertical="center" wrapText="1"/>
    </xf>
    <xf numFmtId="164" fontId="19" fillId="5" borderId="4" xfId="0" applyNumberFormat="1" applyFont="1" applyFill="1" applyBorder="1" applyAlignment="1">
      <alignment vertical="center"/>
    </xf>
    <xf numFmtId="169" fontId="19" fillId="5" borderId="0" xfId="0" applyNumberFormat="1" applyFont="1" applyFill="1" applyAlignment="1">
      <alignment vertical="center"/>
    </xf>
    <xf numFmtId="169" fontId="19" fillId="2" borderId="0" xfId="0" applyNumberFormat="1" applyFont="1" applyFill="1" applyAlignment="1">
      <alignment vertical="center"/>
    </xf>
    <xf numFmtId="9" fontId="19" fillId="2" borderId="0" xfId="2" applyFont="1" applyFill="1" applyBorder="1" applyAlignment="1">
      <alignment vertical="center"/>
    </xf>
    <xf numFmtId="164" fontId="19" fillId="2" borderId="5" xfId="0" applyNumberFormat="1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vertical="center"/>
    </xf>
    <xf numFmtId="169" fontId="21" fillId="2" borderId="0" xfId="0" applyNumberFormat="1" applyFont="1" applyFill="1" applyAlignment="1">
      <alignment vertical="center"/>
    </xf>
    <xf numFmtId="9" fontId="21" fillId="2" borderId="0" xfId="2" applyFont="1" applyFill="1" applyBorder="1" applyAlignment="1">
      <alignment vertical="center"/>
    </xf>
    <xf numFmtId="164" fontId="21" fillId="2" borderId="5" xfId="0" applyNumberFormat="1" applyFont="1" applyFill="1" applyBorder="1" applyAlignment="1">
      <alignment vertical="center" wrapText="1"/>
    </xf>
    <xf numFmtId="164" fontId="19" fillId="2" borderId="0" xfId="0" applyNumberFormat="1" applyFont="1" applyFill="1" applyAlignment="1">
      <alignment vertical="center"/>
    </xf>
    <xf numFmtId="164" fontId="18" fillId="2" borderId="6" xfId="0" applyNumberFormat="1" applyFont="1" applyFill="1" applyBorder="1" applyAlignment="1">
      <alignment horizontal="center" vertical="center"/>
    </xf>
    <xf numFmtId="169" fontId="25" fillId="2" borderId="0" xfId="0" applyNumberFormat="1" applyFont="1" applyFill="1" applyAlignment="1">
      <alignment vertical="center"/>
    </xf>
    <xf numFmtId="9" fontId="19" fillId="2" borderId="0" xfId="0" applyNumberFormat="1" applyFont="1" applyFill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4" fontId="17" fillId="4" borderId="9" xfId="0" applyNumberFormat="1" applyFont="1" applyFill="1" applyBorder="1" applyAlignment="1">
      <alignment vertical="center"/>
    </xf>
    <xf numFmtId="164" fontId="26" fillId="3" borderId="16" xfId="0" applyNumberFormat="1" applyFont="1" applyFill="1" applyBorder="1" applyAlignment="1">
      <alignment horizontal="center" vertical="center" wrapText="1"/>
    </xf>
    <xf numFmtId="49" fontId="17" fillId="4" borderId="8" xfId="0" applyNumberFormat="1" applyFont="1" applyFill="1" applyBorder="1" applyAlignment="1">
      <alignment vertical="center"/>
    </xf>
    <xf numFmtId="169" fontId="17" fillId="4" borderId="43" xfId="0" applyNumberFormat="1" applyFont="1" applyFill="1" applyBorder="1" applyAlignment="1">
      <alignment horizontal="center" vertical="center"/>
    </xf>
    <xf numFmtId="165" fontId="27" fillId="3" borderId="0" xfId="0" applyNumberFormat="1" applyFont="1" applyFill="1" applyAlignment="1">
      <alignment horizontal="center" vertical="center"/>
    </xf>
    <xf numFmtId="169" fontId="17" fillId="4" borderId="47" xfId="0" applyNumberFormat="1" applyFont="1" applyFill="1" applyBorder="1" applyAlignment="1">
      <alignment horizontal="center" vertical="center"/>
    </xf>
    <xf numFmtId="169" fontId="17" fillId="4" borderId="48" xfId="0" applyNumberFormat="1" applyFont="1" applyFill="1" applyBorder="1" applyAlignment="1">
      <alignment horizontal="center" vertical="center"/>
    </xf>
    <xf numFmtId="169" fontId="17" fillId="4" borderId="47" xfId="0" applyNumberFormat="1" applyFont="1" applyFill="1" applyBorder="1" applyAlignment="1">
      <alignment horizontal="center" vertical="center" wrapText="1"/>
    </xf>
    <xf numFmtId="164" fontId="21" fillId="4" borderId="8" xfId="0" applyNumberFormat="1" applyFont="1" applyFill="1" applyBorder="1" applyAlignment="1">
      <alignment vertical="center"/>
    </xf>
    <xf numFmtId="169" fontId="17" fillId="4" borderId="50" xfId="0" applyNumberFormat="1" applyFont="1" applyFill="1" applyBorder="1" applyAlignment="1">
      <alignment horizontal="center" vertical="center"/>
    </xf>
    <xf numFmtId="9" fontId="17" fillId="4" borderId="24" xfId="0" applyNumberFormat="1" applyFont="1" applyFill="1" applyBorder="1" applyAlignment="1">
      <alignment horizontal="center" vertical="center"/>
    </xf>
    <xf numFmtId="15" fontId="27" fillId="3" borderId="0" xfId="0" applyNumberFormat="1" applyFont="1" applyFill="1" applyAlignment="1">
      <alignment horizontal="center" vertical="center"/>
    </xf>
    <xf numFmtId="169" fontId="17" fillId="4" borderId="51" xfId="0" applyNumberFormat="1" applyFont="1" applyFill="1" applyBorder="1" applyAlignment="1">
      <alignment horizontal="center" vertical="center"/>
    </xf>
    <xf numFmtId="9" fontId="17" fillId="4" borderId="52" xfId="2" applyFont="1" applyFill="1" applyBorder="1" applyAlignment="1">
      <alignment horizontal="center" vertical="center"/>
    </xf>
    <xf numFmtId="169" fontId="17" fillId="4" borderId="53" xfId="0" applyNumberFormat="1" applyFont="1" applyFill="1" applyBorder="1" applyAlignment="1">
      <alignment horizontal="center" vertical="center"/>
    </xf>
    <xf numFmtId="169" fontId="17" fillId="4" borderId="54" xfId="0" applyNumberFormat="1" applyFont="1" applyFill="1" applyBorder="1" applyAlignment="1">
      <alignment horizontal="center" vertical="center"/>
    </xf>
    <xf numFmtId="169" fontId="17" fillId="4" borderId="55" xfId="0" applyNumberFormat="1" applyFont="1" applyFill="1" applyBorder="1" applyAlignment="1">
      <alignment horizontal="center" vertical="center"/>
    </xf>
    <xf numFmtId="9" fontId="17" fillId="4" borderId="24" xfId="2" applyFont="1" applyFill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169" fontId="17" fillId="0" borderId="50" xfId="0" applyNumberFormat="1" applyFont="1" applyBorder="1" applyAlignment="1">
      <alignment horizontal="center" vertical="center"/>
    </xf>
    <xf numFmtId="169" fontId="17" fillId="0" borderId="43" xfId="0" applyNumberFormat="1" applyFont="1" applyBorder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9" fontId="17" fillId="0" borderId="43" xfId="2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vertical="center"/>
    </xf>
    <xf numFmtId="169" fontId="16" fillId="2" borderId="50" xfId="0" applyNumberFormat="1" applyFont="1" applyFill="1" applyBorder="1" applyAlignment="1">
      <alignment vertical="center"/>
    </xf>
    <xf numFmtId="165" fontId="16" fillId="3" borderId="0" xfId="0" applyNumberFormat="1" applyFont="1" applyFill="1" applyAlignment="1">
      <alignment vertical="center"/>
    </xf>
    <xf numFmtId="9" fontId="16" fillId="2" borderId="50" xfId="2" applyFont="1" applyFill="1" applyBorder="1" applyAlignment="1">
      <alignment vertical="center"/>
    </xf>
    <xf numFmtId="169" fontId="16" fillId="2" borderId="56" xfId="0" applyNumberFormat="1" applyFont="1" applyFill="1" applyBorder="1" applyAlignment="1">
      <alignment vertical="center"/>
    </xf>
    <xf numFmtId="166" fontId="16" fillId="3" borderId="0" xfId="0" applyNumberFormat="1" applyFont="1" applyFill="1" applyAlignment="1">
      <alignment vertical="center"/>
    </xf>
    <xf numFmtId="49" fontId="23" fillId="2" borderId="4" xfId="0" applyNumberFormat="1" applyFont="1" applyFill="1" applyBorder="1" applyAlignment="1">
      <alignment vertical="center"/>
    </xf>
    <xf numFmtId="169" fontId="19" fillId="2" borderId="50" xfId="0" applyNumberFormat="1" applyFont="1" applyFill="1" applyBorder="1" applyAlignment="1">
      <alignment vertical="center"/>
    </xf>
    <xf numFmtId="165" fontId="19" fillId="3" borderId="0" xfId="0" applyNumberFormat="1" applyFont="1" applyFill="1" applyAlignment="1">
      <alignment vertical="center"/>
    </xf>
    <xf numFmtId="9" fontId="23" fillId="2" borderId="50" xfId="2" applyFont="1" applyFill="1" applyBorder="1" applyAlignment="1">
      <alignment horizontal="right" vertical="center"/>
    </xf>
    <xf numFmtId="169" fontId="19" fillId="2" borderId="56" xfId="0" applyNumberFormat="1" applyFont="1" applyFill="1" applyBorder="1" applyAlignment="1">
      <alignment vertical="center"/>
    </xf>
    <xf numFmtId="166" fontId="19" fillId="3" borderId="0" xfId="0" applyNumberFormat="1" applyFont="1" applyFill="1" applyAlignment="1">
      <alignment vertical="center"/>
    </xf>
    <xf numFmtId="49" fontId="19" fillId="2" borderId="4" xfId="0" applyNumberFormat="1" applyFont="1" applyFill="1" applyBorder="1" applyAlignment="1">
      <alignment vertical="center"/>
    </xf>
    <xf numFmtId="9" fontId="19" fillId="3" borderId="0" xfId="0" applyNumberFormat="1" applyFont="1" applyFill="1" applyAlignment="1">
      <alignment vertical="center"/>
    </xf>
    <xf numFmtId="49" fontId="21" fillId="2" borderId="4" xfId="0" applyNumberFormat="1" applyFont="1" applyFill="1" applyBorder="1" applyAlignment="1">
      <alignment vertical="center"/>
    </xf>
    <xf numFmtId="0" fontId="19" fillId="0" borderId="59" xfId="0" applyFont="1" applyBorder="1"/>
    <xf numFmtId="49" fontId="17" fillId="4" borderId="32" xfId="0" applyNumberFormat="1" applyFont="1" applyFill="1" applyBorder="1" applyAlignment="1">
      <alignment vertical="center"/>
    </xf>
    <xf numFmtId="169" fontId="17" fillId="4" borderId="61" xfId="0" applyNumberFormat="1" applyFont="1" applyFill="1" applyBorder="1" applyAlignment="1">
      <alignment vertical="center"/>
    </xf>
    <xf numFmtId="169" fontId="17" fillId="4" borderId="62" xfId="0" applyNumberFormat="1" applyFont="1" applyFill="1" applyBorder="1" applyAlignment="1">
      <alignment vertical="center"/>
    </xf>
    <xf numFmtId="9" fontId="21" fillId="4" borderId="63" xfId="0" applyNumberFormat="1" applyFont="1" applyFill="1" applyBorder="1" applyAlignment="1">
      <alignment horizontal="right" vertical="center"/>
    </xf>
    <xf numFmtId="9" fontId="16" fillId="3" borderId="0" xfId="0" applyNumberFormat="1" applyFont="1" applyFill="1" applyAlignment="1">
      <alignment vertical="center"/>
    </xf>
    <xf numFmtId="9" fontId="21" fillId="4" borderId="63" xfId="2" applyFont="1" applyFill="1" applyBorder="1" applyAlignment="1">
      <alignment horizontal="right" vertical="center"/>
    </xf>
    <xf numFmtId="9" fontId="17" fillId="4" borderId="63" xfId="2" applyFont="1" applyFill="1" applyBorder="1" applyAlignment="1">
      <alignment horizontal="right" vertical="center"/>
    </xf>
    <xf numFmtId="169" fontId="16" fillId="4" borderId="61" xfId="0" applyNumberFormat="1" applyFont="1" applyFill="1" applyBorder="1" applyAlignment="1">
      <alignment vertical="center"/>
    </xf>
    <xf numFmtId="169" fontId="16" fillId="4" borderId="62" xfId="0" applyNumberFormat="1" applyFont="1" applyFill="1" applyBorder="1" applyAlignment="1">
      <alignment vertical="center"/>
    </xf>
    <xf numFmtId="9" fontId="16" fillId="4" borderId="63" xfId="2" applyFont="1" applyFill="1" applyBorder="1" applyAlignment="1">
      <alignment horizontal="right" vertical="center"/>
    </xf>
    <xf numFmtId="164" fontId="16" fillId="2" borderId="35" xfId="0" applyNumberFormat="1" applyFont="1" applyFill="1" applyBorder="1" applyAlignment="1">
      <alignment vertical="center"/>
    </xf>
    <xf numFmtId="169" fontId="19" fillId="2" borderId="47" xfId="0" applyNumberFormat="1" applyFont="1" applyFill="1" applyBorder="1" applyAlignment="1">
      <alignment vertical="center"/>
    </xf>
    <xf numFmtId="169" fontId="19" fillId="2" borderId="48" xfId="0" applyNumberFormat="1" applyFont="1" applyFill="1" applyBorder="1" applyAlignment="1">
      <alignment vertical="center"/>
    </xf>
    <xf numFmtId="9" fontId="19" fillId="2" borderId="64" xfId="0" applyNumberFormat="1" applyFont="1" applyFill="1" applyBorder="1" applyAlignment="1">
      <alignment vertical="center"/>
    </xf>
    <xf numFmtId="169" fontId="19" fillId="5" borderId="47" xfId="0" applyNumberFormat="1" applyFont="1" applyFill="1" applyBorder="1" applyAlignment="1">
      <alignment vertical="center"/>
    </xf>
    <xf numFmtId="169" fontId="19" fillId="5" borderId="48" xfId="0" applyNumberFormat="1" applyFont="1" applyFill="1" applyBorder="1" applyAlignment="1">
      <alignment vertical="center"/>
    </xf>
    <xf numFmtId="9" fontId="19" fillId="5" borderId="64" xfId="0" applyNumberFormat="1" applyFont="1" applyFill="1" applyBorder="1" applyAlignment="1">
      <alignment vertical="center"/>
    </xf>
    <xf numFmtId="9" fontId="19" fillId="2" borderId="64" xfId="2" applyFont="1" applyFill="1" applyBorder="1" applyAlignment="1">
      <alignment vertical="center"/>
    </xf>
    <xf numFmtId="9" fontId="23" fillId="5" borderId="64" xfId="2" applyFont="1" applyFill="1" applyBorder="1" applyAlignment="1">
      <alignment horizontal="right" vertical="center"/>
    </xf>
    <xf numFmtId="169" fontId="19" fillId="2" borderId="54" xfId="0" applyNumberFormat="1" applyFont="1" applyFill="1" applyBorder="1" applyAlignment="1">
      <alignment vertical="center"/>
    </xf>
    <xf numFmtId="9" fontId="23" fillId="2" borderId="65" xfId="0" applyNumberFormat="1" applyFont="1" applyFill="1" applyBorder="1" applyAlignment="1">
      <alignment horizontal="right" vertical="center"/>
    </xf>
    <xf numFmtId="9" fontId="23" fillId="5" borderId="65" xfId="0" applyNumberFormat="1" applyFont="1" applyFill="1" applyBorder="1" applyAlignment="1">
      <alignment horizontal="right" vertical="center"/>
    </xf>
    <xf numFmtId="9" fontId="23" fillId="2" borderId="65" xfId="2" applyFont="1" applyFill="1" applyBorder="1" applyAlignment="1">
      <alignment horizontal="right" vertical="center"/>
    </xf>
    <xf numFmtId="9" fontId="23" fillId="5" borderId="65" xfId="2" applyFont="1" applyFill="1" applyBorder="1" applyAlignment="1">
      <alignment horizontal="right" vertical="center"/>
    </xf>
    <xf numFmtId="169" fontId="19" fillId="2" borderId="53" xfId="0" applyNumberFormat="1" applyFont="1" applyFill="1" applyBorder="1" applyAlignment="1">
      <alignment vertical="center"/>
    </xf>
    <xf numFmtId="9" fontId="19" fillId="2" borderId="65" xfId="2" applyFont="1" applyFill="1" applyBorder="1" applyAlignment="1">
      <alignment vertical="center"/>
    </xf>
    <xf numFmtId="164" fontId="27" fillId="2" borderId="30" xfId="0" applyNumberFormat="1" applyFont="1" applyFill="1" applyBorder="1" applyAlignment="1">
      <alignment vertical="center"/>
    </xf>
    <xf numFmtId="169" fontId="16" fillId="2" borderId="61" xfId="0" applyNumberFormat="1" applyFont="1" applyFill="1" applyBorder="1" applyAlignment="1">
      <alignment vertical="center"/>
    </xf>
    <xf numFmtId="169" fontId="16" fillId="2" borderId="62" xfId="0" applyNumberFormat="1" applyFont="1" applyFill="1" applyBorder="1" applyAlignment="1">
      <alignment vertical="center"/>
    </xf>
    <xf numFmtId="9" fontId="16" fillId="2" borderId="63" xfId="0" applyNumberFormat="1" applyFont="1" applyFill="1" applyBorder="1" applyAlignment="1">
      <alignment vertical="center"/>
    </xf>
    <xf numFmtId="169" fontId="16" fillId="5" borderId="61" xfId="0" applyNumberFormat="1" applyFont="1" applyFill="1" applyBorder="1" applyAlignment="1">
      <alignment vertical="center"/>
    </xf>
    <xf numFmtId="169" fontId="16" fillId="5" borderId="62" xfId="0" applyNumberFormat="1" applyFont="1" applyFill="1" applyBorder="1" applyAlignment="1">
      <alignment vertical="center"/>
    </xf>
    <xf numFmtId="9" fontId="19" fillId="5" borderId="63" xfId="0" applyNumberFormat="1" applyFont="1" applyFill="1" applyBorder="1" applyAlignment="1">
      <alignment vertical="center"/>
    </xf>
    <xf numFmtId="9" fontId="16" fillId="2" borderId="63" xfId="2" applyFont="1" applyFill="1" applyBorder="1" applyAlignment="1">
      <alignment vertical="center"/>
    </xf>
    <xf numFmtId="9" fontId="23" fillId="5" borderId="63" xfId="2" applyFont="1" applyFill="1" applyBorder="1" applyAlignment="1">
      <alignment horizontal="right" vertical="center"/>
    </xf>
    <xf numFmtId="169" fontId="17" fillId="4" borderId="66" xfId="0" applyNumberFormat="1" applyFont="1" applyFill="1" applyBorder="1" applyAlignment="1">
      <alignment vertical="center"/>
    </xf>
    <xf numFmtId="169" fontId="17" fillId="4" borderId="67" xfId="0" applyNumberFormat="1" applyFont="1" applyFill="1" applyBorder="1" applyAlignment="1">
      <alignment vertical="center"/>
    </xf>
    <xf numFmtId="9" fontId="21" fillId="4" borderId="68" xfId="0" applyNumberFormat="1" applyFont="1" applyFill="1" applyBorder="1" applyAlignment="1">
      <alignment horizontal="right" vertical="center"/>
    </xf>
    <xf numFmtId="9" fontId="21" fillId="4" borderId="68" xfId="2" applyFont="1" applyFill="1" applyBorder="1" applyAlignment="1">
      <alignment horizontal="right" vertical="center"/>
    </xf>
    <xf numFmtId="169" fontId="16" fillId="4" borderId="66" xfId="0" applyNumberFormat="1" applyFont="1" applyFill="1" applyBorder="1" applyAlignment="1">
      <alignment vertical="center"/>
    </xf>
    <xf numFmtId="169" fontId="16" fillId="4" borderId="67" xfId="0" applyNumberFormat="1" applyFont="1" applyFill="1" applyBorder="1" applyAlignment="1">
      <alignment vertical="center"/>
    </xf>
    <xf numFmtId="9" fontId="16" fillId="4" borderId="68" xfId="2" applyFont="1" applyFill="1" applyBorder="1" applyAlignment="1">
      <alignment horizontal="right" vertical="center"/>
    </xf>
    <xf numFmtId="164" fontId="19" fillId="2" borderId="35" xfId="0" applyNumberFormat="1" applyFont="1" applyFill="1" applyBorder="1" applyAlignment="1">
      <alignment vertical="center"/>
    </xf>
    <xf numFmtId="169" fontId="16" fillId="2" borderId="47" xfId="0" applyNumberFormat="1" applyFont="1" applyFill="1" applyBorder="1" applyAlignment="1">
      <alignment vertical="center"/>
    </xf>
    <xf numFmtId="169" fontId="16" fillId="2" borderId="48" xfId="0" applyNumberFormat="1" applyFont="1" applyFill="1" applyBorder="1" applyAlignment="1">
      <alignment vertical="center"/>
    </xf>
    <xf numFmtId="9" fontId="16" fillId="2" borderId="64" xfId="0" applyNumberFormat="1" applyFont="1" applyFill="1" applyBorder="1" applyAlignment="1">
      <alignment vertical="center"/>
    </xf>
    <xf numFmtId="169" fontId="16" fillId="5" borderId="47" xfId="0" applyNumberFormat="1" applyFont="1" applyFill="1" applyBorder="1" applyAlignment="1">
      <alignment vertical="center"/>
    </xf>
    <xf numFmtId="169" fontId="16" fillId="5" borderId="48" xfId="0" applyNumberFormat="1" applyFont="1" applyFill="1" applyBorder="1" applyAlignment="1">
      <alignment vertical="center"/>
    </xf>
    <xf numFmtId="9" fontId="16" fillId="5" borderId="64" xfId="0" applyNumberFormat="1" applyFont="1" applyFill="1" applyBorder="1" applyAlignment="1">
      <alignment vertical="center"/>
    </xf>
    <xf numFmtId="9" fontId="16" fillId="2" borderId="64" xfId="2" applyFont="1" applyFill="1" applyBorder="1" applyAlignment="1">
      <alignment vertical="center"/>
    </xf>
    <xf numFmtId="9" fontId="16" fillId="5" borderId="64" xfId="2" applyFont="1" applyFill="1" applyBorder="1" applyAlignment="1">
      <alignment vertical="center"/>
    </xf>
    <xf numFmtId="9" fontId="19" fillId="2" borderId="65" xfId="0" applyNumberFormat="1" applyFont="1" applyFill="1" applyBorder="1" applyAlignment="1">
      <alignment vertical="center"/>
    </xf>
    <xf numFmtId="169" fontId="19" fillId="5" borderId="53" xfId="0" applyNumberFormat="1" applyFont="1" applyFill="1" applyBorder="1" applyAlignment="1">
      <alignment vertical="center"/>
    </xf>
    <xf numFmtId="169" fontId="19" fillId="5" borderId="54" xfId="0" applyNumberFormat="1" applyFont="1" applyFill="1" applyBorder="1" applyAlignment="1">
      <alignment vertical="center"/>
    </xf>
    <xf numFmtId="9" fontId="19" fillId="5" borderId="65" xfId="0" applyNumberFormat="1" applyFont="1" applyFill="1" applyBorder="1" applyAlignment="1">
      <alignment vertical="center"/>
    </xf>
    <xf numFmtId="9" fontId="19" fillId="5" borderId="65" xfId="2" applyFont="1" applyFill="1" applyBorder="1" applyAlignment="1">
      <alignment vertical="center"/>
    </xf>
    <xf numFmtId="9" fontId="23" fillId="3" borderId="0" xfId="0" applyNumberFormat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right" vertical="center"/>
    </xf>
    <xf numFmtId="49" fontId="19" fillId="2" borderId="30" xfId="0" applyNumberFormat="1" applyFont="1" applyFill="1" applyBorder="1" applyAlignment="1">
      <alignment vertical="center"/>
    </xf>
    <xf numFmtId="9" fontId="23" fillId="2" borderId="63" xfId="0" applyNumberFormat="1" applyFont="1" applyFill="1" applyBorder="1" applyAlignment="1">
      <alignment horizontal="right" vertical="center"/>
    </xf>
    <xf numFmtId="9" fontId="23" fillId="5" borderId="63" xfId="0" applyNumberFormat="1" applyFont="1" applyFill="1" applyBorder="1" applyAlignment="1">
      <alignment horizontal="right" vertical="center"/>
    </xf>
    <xf numFmtId="9" fontId="23" fillId="2" borderId="63" xfId="2" applyFont="1" applyFill="1" applyBorder="1" applyAlignment="1">
      <alignment horizontal="right" vertical="center"/>
    </xf>
    <xf numFmtId="169" fontId="19" fillId="2" borderId="61" xfId="0" applyNumberFormat="1" applyFont="1" applyFill="1" applyBorder="1" applyAlignment="1">
      <alignment vertical="center"/>
    </xf>
    <xf numFmtId="169" fontId="19" fillId="2" borderId="62" xfId="0" applyNumberFormat="1" applyFont="1" applyFill="1" applyBorder="1" applyAlignment="1">
      <alignment vertical="center"/>
    </xf>
    <xf numFmtId="9" fontId="23" fillId="4" borderId="68" xfId="2" applyFont="1" applyFill="1" applyBorder="1" applyAlignment="1">
      <alignment horizontal="right" vertical="center"/>
    </xf>
    <xf numFmtId="9" fontId="19" fillId="5" borderId="64" xfId="2" applyFont="1" applyFill="1" applyBorder="1" applyAlignment="1">
      <alignment vertical="center"/>
    </xf>
    <xf numFmtId="169" fontId="16" fillId="2" borderId="53" xfId="0" applyNumberFormat="1" applyFont="1" applyFill="1" applyBorder="1" applyAlignment="1">
      <alignment vertical="center"/>
    </xf>
    <xf numFmtId="169" fontId="16" fillId="2" borderId="54" xfId="0" applyNumberFormat="1" applyFont="1" applyFill="1" applyBorder="1" applyAlignment="1">
      <alignment vertical="center"/>
    </xf>
    <xf numFmtId="9" fontId="16" fillId="2" borderId="65" xfId="0" applyNumberFormat="1" applyFont="1" applyFill="1" applyBorder="1" applyAlignment="1">
      <alignment vertical="center"/>
    </xf>
    <xf numFmtId="169" fontId="16" fillId="5" borderId="53" xfId="0" applyNumberFormat="1" applyFont="1" applyFill="1" applyBorder="1" applyAlignment="1">
      <alignment vertical="center"/>
    </xf>
    <xf numFmtId="169" fontId="16" fillId="5" borderId="54" xfId="0" applyNumberFormat="1" applyFont="1" applyFill="1" applyBorder="1" applyAlignment="1">
      <alignment vertical="center"/>
    </xf>
    <xf numFmtId="9" fontId="16" fillId="5" borderId="65" xfId="0" applyNumberFormat="1" applyFont="1" applyFill="1" applyBorder="1" applyAlignment="1">
      <alignment vertical="center"/>
    </xf>
    <xf numFmtId="9" fontId="16" fillId="2" borderId="65" xfId="2" applyFont="1" applyFill="1" applyBorder="1" applyAlignment="1">
      <alignment vertical="center"/>
    </xf>
    <xf numFmtId="9" fontId="16" fillId="5" borderId="65" xfId="2" applyFont="1" applyFill="1" applyBorder="1" applyAlignment="1">
      <alignment vertical="center"/>
    </xf>
    <xf numFmtId="49" fontId="28" fillId="2" borderId="4" xfId="0" applyNumberFormat="1" applyFont="1" applyFill="1" applyBorder="1" applyAlignment="1">
      <alignment vertical="center"/>
    </xf>
    <xf numFmtId="164" fontId="19" fillId="2" borderId="4" xfId="0" applyNumberFormat="1" applyFont="1" applyFill="1" applyBorder="1" applyAlignment="1">
      <alignment vertical="center"/>
    </xf>
    <xf numFmtId="164" fontId="27" fillId="2" borderId="32" xfId="0" applyNumberFormat="1" applyFont="1" applyFill="1" applyBorder="1" applyAlignment="1">
      <alignment vertical="center"/>
    </xf>
    <xf numFmtId="169" fontId="16" fillId="2" borderId="66" xfId="0" applyNumberFormat="1" applyFont="1" applyFill="1" applyBorder="1" applyAlignment="1">
      <alignment vertical="center"/>
    </xf>
    <xf numFmtId="169" fontId="16" fillId="2" borderId="67" xfId="0" applyNumberFormat="1" applyFont="1" applyFill="1" applyBorder="1" applyAlignment="1">
      <alignment vertical="center"/>
    </xf>
    <xf numFmtId="9" fontId="16" fillId="2" borderId="68" xfId="0" applyNumberFormat="1" applyFont="1" applyFill="1" applyBorder="1" applyAlignment="1">
      <alignment vertical="center"/>
    </xf>
    <xf numFmtId="169" fontId="16" fillId="5" borderId="66" xfId="0" applyNumberFormat="1" applyFont="1" applyFill="1" applyBorder="1" applyAlignment="1">
      <alignment vertical="center"/>
    </xf>
    <xf numFmtId="169" fontId="16" fillId="5" borderId="67" xfId="0" applyNumberFormat="1" applyFont="1" applyFill="1" applyBorder="1" applyAlignment="1">
      <alignment vertical="center"/>
    </xf>
    <xf numFmtId="9" fontId="16" fillId="5" borderId="68" xfId="0" applyNumberFormat="1" applyFont="1" applyFill="1" applyBorder="1" applyAlignment="1">
      <alignment vertical="center"/>
    </xf>
    <xf numFmtId="165" fontId="16" fillId="2" borderId="68" xfId="0" applyNumberFormat="1" applyFont="1" applyFill="1" applyBorder="1" applyAlignment="1">
      <alignment vertical="center"/>
    </xf>
    <xf numFmtId="9" fontId="23" fillId="5" borderId="68" xfId="0" applyNumberFormat="1" applyFont="1" applyFill="1" applyBorder="1" applyAlignment="1">
      <alignment horizontal="right" vertical="center"/>
    </xf>
    <xf numFmtId="169" fontId="19" fillId="2" borderId="66" xfId="0" applyNumberFormat="1" applyFont="1" applyFill="1" applyBorder="1" applyAlignment="1">
      <alignment vertical="center"/>
    </xf>
    <xf numFmtId="169" fontId="19" fillId="2" borderId="67" xfId="0" applyNumberFormat="1" applyFont="1" applyFill="1" applyBorder="1" applyAlignment="1">
      <alignment vertical="center"/>
    </xf>
    <xf numFmtId="167" fontId="17" fillId="8" borderId="21" xfId="1" applyNumberFormat="1" applyFont="1" applyFill="1" applyBorder="1" applyAlignment="1" applyProtection="1">
      <alignment wrapText="1"/>
    </xf>
    <xf numFmtId="165" fontId="16" fillId="2" borderId="66" xfId="0" applyNumberFormat="1" applyFont="1" applyFill="1" applyBorder="1" applyAlignment="1">
      <alignment vertical="center"/>
    </xf>
    <xf numFmtId="167" fontId="17" fillId="0" borderId="21" xfId="1" applyNumberFormat="1" applyFont="1" applyFill="1" applyBorder="1" applyAlignment="1" applyProtection="1">
      <alignment wrapText="1"/>
    </xf>
    <xf numFmtId="165" fontId="16" fillId="5" borderId="68" xfId="0" applyNumberFormat="1" applyFont="1" applyFill="1" applyBorder="1" applyAlignment="1">
      <alignment vertical="center"/>
    </xf>
    <xf numFmtId="167" fontId="17" fillId="8" borderId="19" xfId="1" applyNumberFormat="1" applyFont="1" applyFill="1" applyBorder="1" applyAlignment="1" applyProtection="1">
      <alignment wrapText="1"/>
    </xf>
    <xf numFmtId="49" fontId="23" fillId="2" borderId="65" xfId="0" applyNumberFormat="1" applyFont="1" applyFill="1" applyBorder="1" applyAlignment="1">
      <alignment horizontal="right" vertical="center"/>
    </xf>
    <xf numFmtId="49" fontId="23" fillId="5" borderId="65" xfId="0" applyNumberFormat="1" applyFont="1" applyFill="1" applyBorder="1" applyAlignment="1">
      <alignment horizontal="right" vertical="center"/>
    </xf>
    <xf numFmtId="49" fontId="17" fillId="4" borderId="37" xfId="0" applyNumberFormat="1" applyFont="1" applyFill="1" applyBorder="1" applyAlignment="1">
      <alignment vertical="center"/>
    </xf>
    <xf numFmtId="169" fontId="17" fillId="4" borderId="69" xfId="0" applyNumberFormat="1" applyFont="1" applyFill="1" applyBorder="1" applyAlignment="1">
      <alignment vertical="center"/>
    </xf>
    <xf numFmtId="169" fontId="17" fillId="4" borderId="70" xfId="0" applyNumberFormat="1" applyFont="1" applyFill="1" applyBorder="1" applyAlignment="1">
      <alignment vertical="center"/>
    </xf>
    <xf numFmtId="9" fontId="21" fillId="4" borderId="71" xfId="0" applyNumberFormat="1" applyFont="1" applyFill="1" applyBorder="1" applyAlignment="1">
      <alignment horizontal="right" vertical="center"/>
    </xf>
    <xf numFmtId="9" fontId="16" fillId="3" borderId="7" xfId="0" applyNumberFormat="1" applyFont="1" applyFill="1" applyBorder="1" applyAlignment="1">
      <alignment vertical="center"/>
    </xf>
    <xf numFmtId="169" fontId="16" fillId="4" borderId="69" xfId="0" applyNumberFormat="1" applyFont="1" applyFill="1" applyBorder="1" applyAlignment="1">
      <alignment vertical="center"/>
    </xf>
    <xf numFmtId="169" fontId="16" fillId="4" borderId="70" xfId="0" applyNumberFormat="1" applyFont="1" applyFill="1" applyBorder="1" applyAlignment="1">
      <alignment vertical="center"/>
    </xf>
    <xf numFmtId="9" fontId="23" fillId="4" borderId="71" xfId="0" applyNumberFormat="1" applyFont="1" applyFill="1" applyBorder="1" applyAlignment="1">
      <alignment horizontal="right" vertical="center"/>
    </xf>
    <xf numFmtId="9" fontId="19" fillId="0" borderId="0" xfId="0" applyNumberFormat="1" applyFont="1"/>
    <xf numFmtId="9" fontId="19" fillId="0" borderId="0" xfId="2" applyFont="1" applyAlignment="1"/>
    <xf numFmtId="49" fontId="19" fillId="2" borderId="4" xfId="0" applyNumberFormat="1" applyFont="1" applyFill="1" applyBorder="1"/>
    <xf numFmtId="49" fontId="19" fillId="2" borderId="30" xfId="0" applyNumberFormat="1" applyFont="1" applyFill="1" applyBorder="1"/>
    <xf numFmtId="164" fontId="19" fillId="2" borderId="30" xfId="0" applyNumberFormat="1" applyFont="1" applyFill="1" applyBorder="1"/>
    <xf numFmtId="164" fontId="16" fillId="2" borderId="6" xfId="0" applyNumberFormat="1" applyFont="1" applyFill="1" applyBorder="1"/>
    <xf numFmtId="169" fontId="16" fillId="2" borderId="0" xfId="0" applyNumberFormat="1" applyFont="1" applyFill="1"/>
    <xf numFmtId="169" fontId="16" fillId="2" borderId="7" xfId="0" applyNumberFormat="1" applyFont="1" applyFill="1" applyBorder="1"/>
    <xf numFmtId="164" fontId="17" fillId="4" borderId="9" xfId="0" applyNumberFormat="1" applyFont="1" applyFill="1" applyBorder="1" applyAlignment="1">
      <alignment horizontal="center" vertical="center"/>
    </xf>
    <xf numFmtId="169" fontId="17" fillId="4" borderId="16" xfId="0" applyNumberFormat="1" applyFont="1" applyFill="1" applyBorder="1" applyAlignment="1">
      <alignment horizontal="center" vertical="center" wrapText="1"/>
    </xf>
    <xf numFmtId="164" fontId="17" fillId="4" borderId="8" xfId="0" applyNumberFormat="1" applyFont="1" applyFill="1" applyBorder="1"/>
    <xf numFmtId="14" fontId="17" fillId="4" borderId="0" xfId="0" applyNumberFormat="1" applyFont="1" applyFill="1" applyAlignment="1">
      <alignment horizontal="center"/>
    </xf>
    <xf numFmtId="164" fontId="17" fillId="4" borderId="28" xfId="0" applyNumberFormat="1" applyFont="1" applyFill="1" applyBorder="1"/>
    <xf numFmtId="169" fontId="17" fillId="4" borderId="12" xfId="0" applyNumberFormat="1" applyFont="1" applyFill="1" applyBorder="1" applyAlignment="1">
      <alignment horizontal="center"/>
    </xf>
    <xf numFmtId="169" fontId="17" fillId="4" borderId="7" xfId="0" applyNumberFormat="1" applyFont="1" applyFill="1" applyBorder="1" applyAlignment="1">
      <alignment horizontal="center"/>
    </xf>
    <xf numFmtId="49" fontId="17" fillId="2" borderId="29" xfId="0" applyNumberFormat="1" applyFont="1" applyFill="1" applyBorder="1"/>
    <xf numFmtId="169" fontId="23" fillId="2" borderId="13" xfId="0" applyNumberFormat="1" applyFont="1" applyFill="1" applyBorder="1"/>
    <xf numFmtId="169" fontId="23" fillId="2" borderId="16" xfId="0" applyNumberFormat="1" applyFont="1" applyFill="1" applyBorder="1"/>
    <xf numFmtId="49" fontId="17" fillId="2" borderId="4" xfId="0" applyNumberFormat="1" applyFont="1" applyFill="1" applyBorder="1"/>
    <xf numFmtId="169" fontId="23" fillId="2" borderId="0" xfId="0" applyNumberFormat="1" applyFont="1" applyFill="1"/>
    <xf numFmtId="49" fontId="21" fillId="2" borderId="4" xfId="0" applyNumberFormat="1" applyFont="1" applyFill="1" applyBorder="1"/>
    <xf numFmtId="49" fontId="23" fillId="2" borderId="4" xfId="0" applyNumberFormat="1" applyFont="1" applyFill="1" applyBorder="1"/>
    <xf numFmtId="49" fontId="23" fillId="2" borderId="30" xfId="0" applyNumberFormat="1" applyFont="1" applyFill="1" applyBorder="1"/>
    <xf numFmtId="49" fontId="17" fillId="4" borderId="32" xfId="0" applyNumberFormat="1" applyFont="1" applyFill="1" applyBorder="1"/>
    <xf numFmtId="164" fontId="23" fillId="2" borderId="35" xfId="0" applyNumberFormat="1" applyFont="1" applyFill="1" applyBorder="1"/>
    <xf numFmtId="49" fontId="16" fillId="2" borderId="4" xfId="0" applyNumberFormat="1" applyFont="1" applyFill="1" applyBorder="1"/>
    <xf numFmtId="164" fontId="16" fillId="2" borderId="35" xfId="0" applyNumberFormat="1" applyFont="1" applyFill="1" applyBorder="1"/>
    <xf numFmtId="164" fontId="24" fillId="2" borderId="30" xfId="0" applyNumberFormat="1" applyFont="1" applyFill="1" applyBorder="1"/>
    <xf numFmtId="164" fontId="24" fillId="2" borderId="35" xfId="0" applyNumberFormat="1" applyFont="1" applyFill="1" applyBorder="1"/>
    <xf numFmtId="164" fontId="21" fillId="2" borderId="4" xfId="0" applyNumberFormat="1" applyFont="1" applyFill="1" applyBorder="1"/>
    <xf numFmtId="49" fontId="23" fillId="2" borderId="4" xfId="0" applyNumberFormat="1" applyFont="1" applyFill="1" applyBorder="1" applyAlignment="1">
      <alignment horizontal="left"/>
    </xf>
    <xf numFmtId="164" fontId="21" fillId="2" borderId="35" xfId="0" applyNumberFormat="1" applyFont="1" applyFill="1" applyBorder="1"/>
    <xf numFmtId="164" fontId="21" fillId="2" borderId="32" xfId="0" applyNumberFormat="1" applyFont="1" applyFill="1" applyBorder="1"/>
    <xf numFmtId="49" fontId="17" fillId="4" borderId="37" xfId="0" applyNumberFormat="1" applyFont="1" applyFill="1" applyBorder="1" applyAlignment="1">
      <alignment wrapText="1"/>
    </xf>
    <xf numFmtId="10" fontId="16" fillId="5" borderId="2" xfId="0" applyNumberFormat="1" applyFont="1" applyFill="1" applyBorder="1" applyAlignment="1">
      <alignment vertical="center"/>
    </xf>
    <xf numFmtId="10" fontId="16" fillId="5" borderId="0" xfId="0" applyNumberFormat="1" applyFont="1" applyFill="1" applyAlignment="1">
      <alignment vertical="center"/>
    </xf>
    <xf numFmtId="10" fontId="17" fillId="5" borderId="0" xfId="0" applyNumberFormat="1" applyFont="1" applyFill="1" applyAlignment="1">
      <alignment vertical="center"/>
    </xf>
    <xf numFmtId="10" fontId="19" fillId="2" borderId="0" xfId="0" applyNumberFormat="1" applyFont="1" applyFill="1" applyAlignment="1">
      <alignment vertical="center"/>
    </xf>
    <xf numFmtId="10" fontId="19" fillId="5" borderId="64" xfId="0" applyNumberFormat="1" applyFont="1" applyFill="1" applyBorder="1" applyAlignment="1">
      <alignment vertical="center"/>
    </xf>
    <xf numFmtId="10" fontId="23" fillId="5" borderId="65" xfId="0" applyNumberFormat="1" applyFont="1" applyFill="1" applyBorder="1" applyAlignment="1">
      <alignment horizontal="right" vertical="center"/>
    </xf>
    <xf numFmtId="10" fontId="19" fillId="5" borderId="63" xfId="0" applyNumberFormat="1" applyFont="1" applyFill="1" applyBorder="1" applyAlignment="1">
      <alignment vertical="center"/>
    </xf>
    <xf numFmtId="10" fontId="21" fillId="4" borderId="68" xfId="0" applyNumberFormat="1" applyFont="1" applyFill="1" applyBorder="1" applyAlignment="1">
      <alignment horizontal="right" vertical="center"/>
    </xf>
    <xf numFmtId="10" fontId="16" fillId="5" borderId="64" xfId="0" applyNumberFormat="1" applyFont="1" applyFill="1" applyBorder="1" applyAlignment="1">
      <alignment vertical="center"/>
    </xf>
    <xf numFmtId="10" fontId="19" fillId="5" borderId="65" xfId="0" applyNumberFormat="1" applyFont="1" applyFill="1" applyBorder="1" applyAlignment="1">
      <alignment vertical="center"/>
    </xf>
    <xf numFmtId="10" fontId="23" fillId="5" borderId="63" xfId="0" applyNumberFormat="1" applyFont="1" applyFill="1" applyBorder="1" applyAlignment="1">
      <alignment horizontal="right" vertical="center"/>
    </xf>
    <xf numFmtId="10" fontId="16" fillId="5" borderId="65" xfId="0" applyNumberFormat="1" applyFont="1" applyFill="1" applyBorder="1" applyAlignment="1">
      <alignment vertical="center"/>
    </xf>
    <xf numFmtId="10" fontId="19" fillId="0" borderId="0" xfId="0" applyNumberFormat="1" applyFont="1"/>
    <xf numFmtId="3" fontId="17" fillId="4" borderId="12" xfId="0" applyNumberFormat="1" applyFont="1" applyFill="1" applyBorder="1" applyAlignment="1">
      <alignment horizontal="center"/>
    </xf>
    <xf numFmtId="3" fontId="17" fillId="4" borderId="7" xfId="0" applyNumberFormat="1" applyFont="1" applyFill="1" applyBorder="1" applyAlignment="1">
      <alignment horizontal="center"/>
    </xf>
    <xf numFmtId="3" fontId="19" fillId="0" borderId="0" xfId="0" applyNumberFormat="1" applyFont="1"/>
    <xf numFmtId="10" fontId="17" fillId="4" borderId="24" xfId="0" applyNumberFormat="1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vertical="center"/>
    </xf>
    <xf numFmtId="166" fontId="16" fillId="2" borderId="0" xfId="0" applyNumberFormat="1" applyFont="1" applyFill="1"/>
    <xf numFmtId="166" fontId="16" fillId="2" borderId="7" xfId="0" applyNumberFormat="1" applyFont="1" applyFill="1" applyBorder="1"/>
    <xf numFmtId="166" fontId="17" fillId="4" borderId="10" xfId="0" applyNumberFormat="1" applyFont="1" applyFill="1" applyBorder="1" applyAlignment="1">
      <alignment horizontal="center" vertical="center" wrapText="1"/>
    </xf>
    <xf numFmtId="166" fontId="17" fillId="4" borderId="16" xfId="0" applyNumberFormat="1" applyFont="1" applyFill="1" applyBorder="1" applyAlignment="1">
      <alignment horizontal="center" vertical="center" wrapText="1"/>
    </xf>
    <xf numFmtId="166" fontId="17" fillId="4" borderId="12" xfId="0" applyNumberFormat="1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6" fontId="17" fillId="4" borderId="7" xfId="0" applyNumberFormat="1" applyFont="1" applyFill="1" applyBorder="1" applyAlignment="1">
      <alignment horizontal="center"/>
    </xf>
    <xf numFmtId="166" fontId="23" fillId="2" borderId="91" xfId="0" applyNumberFormat="1" applyFont="1" applyFill="1" applyBorder="1"/>
    <xf numFmtId="166" fontId="23" fillId="2" borderId="10" xfId="0" applyNumberFormat="1" applyFont="1" applyFill="1" applyBorder="1"/>
    <xf numFmtId="166" fontId="23" fillId="2" borderId="90" xfId="0" applyNumberFormat="1" applyFont="1" applyFill="1" applyBorder="1"/>
    <xf numFmtId="166" fontId="23" fillId="2" borderId="16" xfId="0" applyNumberFormat="1" applyFont="1" applyFill="1" applyBorder="1"/>
    <xf numFmtId="166" fontId="23" fillId="2" borderId="13" xfId="0" applyNumberFormat="1" applyFont="1" applyFill="1" applyBorder="1"/>
    <xf numFmtId="166" fontId="23" fillId="2" borderId="17" xfId="0" applyNumberFormat="1" applyFont="1" applyFill="1" applyBorder="1"/>
    <xf numFmtId="166" fontId="23" fillId="2" borderId="11" xfId="0" applyNumberFormat="1" applyFont="1" applyFill="1" applyBorder="1"/>
    <xf numFmtId="166" fontId="23" fillId="2" borderId="24" xfId="0" applyNumberFormat="1" applyFont="1" applyFill="1" applyBorder="1"/>
    <xf numFmtId="166" fontId="23" fillId="2" borderId="0" xfId="0" applyNumberFormat="1" applyFont="1" applyFill="1"/>
    <xf numFmtId="166" fontId="16" fillId="4" borderId="89" xfId="0" applyNumberFormat="1" applyFont="1" applyFill="1" applyBorder="1"/>
    <xf numFmtId="166" fontId="16" fillId="4" borderId="33" xfId="0" applyNumberFormat="1" applyFont="1" applyFill="1" applyBorder="1"/>
    <xf numFmtId="166" fontId="16" fillId="4" borderId="88" xfId="0" applyNumberFormat="1" applyFont="1" applyFill="1" applyBorder="1"/>
    <xf numFmtId="166" fontId="23" fillId="2" borderId="74" xfId="0" applyNumberFormat="1" applyFont="1" applyFill="1" applyBorder="1"/>
    <xf numFmtId="166" fontId="23" fillId="2" borderId="15" xfId="0" applyNumberFormat="1" applyFont="1" applyFill="1" applyBorder="1"/>
    <xf numFmtId="166" fontId="23" fillId="2" borderId="44" xfId="0" applyNumberFormat="1" applyFont="1" applyFill="1" applyBorder="1"/>
    <xf numFmtId="166" fontId="23" fillId="2" borderId="36" xfId="0" applyNumberFormat="1" applyFont="1" applyFill="1" applyBorder="1"/>
    <xf numFmtId="166" fontId="19" fillId="2" borderId="17" xfId="0" applyNumberFormat="1" applyFont="1" applyFill="1" applyBorder="1"/>
    <xf numFmtId="166" fontId="19" fillId="2" borderId="11" xfId="0" applyNumberFormat="1" applyFont="1" applyFill="1" applyBorder="1"/>
    <xf numFmtId="166" fontId="19" fillId="2" borderId="24" xfId="0" applyNumberFormat="1" applyFont="1" applyFill="1" applyBorder="1"/>
    <xf numFmtId="166" fontId="19" fillId="2" borderId="0" xfId="0" applyNumberFormat="1" applyFont="1" applyFill="1"/>
    <xf numFmtId="166" fontId="19" fillId="2" borderId="14" xfId="0" applyNumberFormat="1" applyFont="1" applyFill="1" applyBorder="1"/>
    <xf numFmtId="166" fontId="16" fillId="2" borderId="74" xfId="0" applyNumberFormat="1" applyFont="1" applyFill="1" applyBorder="1"/>
    <xf numFmtId="166" fontId="16" fillId="2" borderId="15" xfId="0" applyNumberFormat="1" applyFont="1" applyFill="1" applyBorder="1"/>
    <xf numFmtId="166" fontId="16" fillId="2" borderId="44" xfId="0" applyNumberFormat="1" applyFont="1" applyFill="1" applyBorder="1"/>
    <xf numFmtId="166" fontId="16" fillId="2" borderId="36" xfId="0" applyNumberFormat="1" applyFont="1" applyFill="1" applyBorder="1"/>
    <xf numFmtId="166" fontId="19" fillId="2" borderId="79" xfId="0" applyNumberFormat="1" applyFont="1" applyFill="1" applyBorder="1"/>
    <xf numFmtId="166" fontId="19" fillId="2" borderId="72" xfId="0" applyNumberFormat="1" applyFont="1" applyFill="1" applyBorder="1"/>
    <xf numFmtId="166" fontId="19" fillId="2" borderId="31" xfId="0" applyNumberFormat="1" applyFont="1" applyFill="1" applyBorder="1"/>
    <xf numFmtId="166" fontId="16" fillId="4" borderId="34" xfId="0" applyNumberFormat="1" applyFont="1" applyFill="1" applyBorder="1"/>
    <xf numFmtId="166" fontId="19" fillId="2" borderId="74" xfId="0" applyNumberFormat="1" applyFont="1" applyFill="1" applyBorder="1"/>
    <xf numFmtId="166" fontId="19" fillId="2" borderId="15" xfId="0" applyNumberFormat="1" applyFont="1" applyFill="1" applyBorder="1"/>
    <xf numFmtId="166" fontId="19" fillId="2" borderId="44" xfId="0" applyNumberFormat="1" applyFont="1" applyFill="1" applyBorder="1"/>
    <xf numFmtId="166" fontId="19" fillId="2" borderId="36" xfId="0" applyNumberFormat="1" applyFont="1" applyFill="1" applyBorder="1"/>
    <xf numFmtId="166" fontId="19" fillId="5" borderId="11" xfId="0" applyNumberFormat="1" applyFont="1" applyFill="1" applyBorder="1"/>
    <xf numFmtId="166" fontId="19" fillId="2" borderId="27" xfId="0" applyNumberFormat="1" applyFont="1" applyFill="1" applyBorder="1"/>
    <xf numFmtId="4" fontId="19" fillId="0" borderId="0" xfId="0" applyNumberFormat="1" applyFont="1"/>
    <xf numFmtId="166" fontId="19" fillId="5" borderId="14" xfId="0" applyNumberFormat="1" applyFont="1" applyFill="1" applyBorder="1"/>
    <xf numFmtId="166" fontId="19" fillId="2" borderId="89" xfId="0" applyNumberFormat="1" applyFont="1" applyFill="1" applyBorder="1"/>
    <xf numFmtId="166" fontId="19" fillId="2" borderId="33" xfId="0" applyNumberFormat="1" applyFont="1" applyFill="1" applyBorder="1"/>
    <xf numFmtId="166" fontId="19" fillId="2" borderId="88" xfId="0" applyNumberFormat="1" applyFont="1" applyFill="1" applyBorder="1"/>
    <xf numFmtId="166" fontId="19" fillId="2" borderId="34" xfId="0" applyNumberFormat="1" applyFont="1" applyFill="1" applyBorder="1"/>
    <xf numFmtId="166" fontId="16" fillId="3" borderId="87" xfId="0" applyNumberFormat="1" applyFont="1" applyFill="1" applyBorder="1"/>
    <xf numFmtId="166" fontId="16" fillId="3" borderId="38" xfId="0" applyNumberFormat="1" applyFont="1" applyFill="1" applyBorder="1"/>
    <xf numFmtId="166" fontId="16" fillId="3" borderId="86" xfId="0" applyNumberFormat="1" applyFont="1" applyFill="1" applyBorder="1"/>
    <xf numFmtId="166" fontId="19" fillId="0" borderId="0" xfId="0" applyNumberFormat="1" applyFont="1"/>
    <xf numFmtId="166" fontId="16" fillId="5" borderId="2" xfId="0" applyNumberFormat="1" applyFont="1" applyFill="1" applyBorder="1" applyAlignment="1">
      <alignment vertical="center"/>
    </xf>
    <xf numFmtId="166" fontId="16" fillId="2" borderId="2" xfId="0" applyNumberFormat="1" applyFont="1" applyFill="1" applyBorder="1" applyAlignment="1">
      <alignment vertical="center"/>
    </xf>
    <xf numFmtId="166" fontId="16" fillId="5" borderId="2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Alignment="1">
      <alignment vertical="center"/>
    </xf>
    <xf numFmtId="166" fontId="16" fillId="5" borderId="0" xfId="0" applyNumberFormat="1" applyFont="1" applyFill="1" applyAlignment="1">
      <alignment horizontal="center" vertical="center"/>
    </xf>
    <xf numFmtId="166" fontId="17" fillId="5" borderId="0" xfId="0" applyNumberFormat="1" applyFont="1" applyFill="1" applyAlignment="1">
      <alignment vertical="center"/>
    </xf>
    <xf numFmtId="166" fontId="17" fillId="2" borderId="0" xfId="0" applyNumberFormat="1" applyFont="1" applyFill="1" applyAlignment="1">
      <alignment vertical="center"/>
    </xf>
    <xf numFmtId="166" fontId="17" fillId="5" borderId="0" xfId="0" applyNumberFormat="1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left" vertical="center"/>
    </xf>
    <xf numFmtId="166" fontId="23" fillId="5" borderId="0" xfId="0" applyNumberFormat="1" applyFont="1" applyFill="1" applyAlignment="1">
      <alignment horizontal="left" vertical="center"/>
    </xf>
    <xf numFmtId="166" fontId="23" fillId="5" borderId="0" xfId="0" applyNumberFormat="1" applyFont="1" applyFill="1" applyAlignment="1">
      <alignment vertical="center"/>
    </xf>
    <xf numFmtId="166" fontId="21" fillId="2" borderId="0" xfId="0" applyNumberFormat="1" applyFont="1" applyFill="1" applyAlignment="1">
      <alignment horizontal="left" vertical="center"/>
    </xf>
    <xf numFmtId="166" fontId="21" fillId="5" borderId="0" xfId="0" applyNumberFormat="1" applyFont="1" applyFill="1" applyAlignment="1">
      <alignment horizontal="left" vertical="center"/>
    </xf>
    <xf numFmtId="166" fontId="21" fillId="5" borderId="0" xfId="0" applyNumberFormat="1" applyFont="1" applyFill="1" applyAlignment="1">
      <alignment vertical="center"/>
    </xf>
    <xf numFmtId="166" fontId="19" fillId="5" borderId="2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166" fontId="19" fillId="5" borderId="0" xfId="0" applyNumberFormat="1" applyFont="1" applyFill="1" applyAlignment="1">
      <alignment vertical="center"/>
    </xf>
    <xf numFmtId="166" fontId="19" fillId="2" borderId="0" xfId="0" applyNumberFormat="1" applyFont="1" applyFill="1" applyAlignment="1">
      <alignment vertical="center"/>
    </xf>
    <xf numFmtId="166" fontId="21" fillId="2" borderId="0" xfId="0" applyNumberFormat="1" applyFont="1" applyFill="1" applyAlignment="1">
      <alignment vertical="center"/>
    </xf>
    <xf numFmtId="166" fontId="25" fillId="2" borderId="0" xfId="0" applyNumberFormat="1" applyFont="1" applyFill="1" applyAlignment="1">
      <alignment vertical="center"/>
    </xf>
    <xf numFmtId="166" fontId="17" fillId="4" borderId="43" xfId="0" applyNumberFormat="1" applyFont="1" applyFill="1" applyBorder="1" applyAlignment="1">
      <alignment horizontal="center" vertical="center"/>
    </xf>
    <xf numFmtId="166" fontId="17" fillId="4" borderId="47" xfId="0" applyNumberFormat="1" applyFont="1" applyFill="1" applyBorder="1" applyAlignment="1">
      <alignment horizontal="center" vertical="center"/>
    </xf>
    <xf numFmtId="166" fontId="17" fillId="4" borderId="48" xfId="0" applyNumberFormat="1" applyFont="1" applyFill="1" applyBorder="1" applyAlignment="1">
      <alignment horizontal="center" vertical="center"/>
    </xf>
    <xf numFmtId="166" fontId="17" fillId="4" borderId="47" xfId="0" applyNumberFormat="1" applyFont="1" applyFill="1" applyBorder="1" applyAlignment="1">
      <alignment horizontal="center" vertical="center" wrapText="1"/>
    </xf>
    <xf numFmtId="166" fontId="17" fillId="4" borderId="50" xfId="0" applyNumberFormat="1" applyFont="1" applyFill="1" applyBorder="1" applyAlignment="1">
      <alignment horizontal="center" vertical="center"/>
    </xf>
    <xf numFmtId="166" fontId="17" fillId="4" borderId="51" xfId="0" applyNumberFormat="1" applyFont="1" applyFill="1" applyBorder="1" applyAlignment="1">
      <alignment horizontal="center" vertical="center"/>
    </xf>
    <xf numFmtId="166" fontId="17" fillId="4" borderId="53" xfId="0" applyNumberFormat="1" applyFont="1" applyFill="1" applyBorder="1" applyAlignment="1">
      <alignment horizontal="center" vertical="center"/>
    </xf>
    <xf numFmtId="166" fontId="17" fillId="4" borderId="54" xfId="0" applyNumberFormat="1" applyFont="1" applyFill="1" applyBorder="1" applyAlignment="1">
      <alignment horizontal="center" vertical="center"/>
    </xf>
    <xf numFmtId="166" fontId="17" fillId="4" borderId="55" xfId="0" applyNumberFormat="1" applyFont="1" applyFill="1" applyBorder="1" applyAlignment="1">
      <alignment horizontal="center" vertical="center"/>
    </xf>
    <xf numFmtId="166" fontId="17" fillId="0" borderId="50" xfId="0" applyNumberFormat="1" applyFont="1" applyBorder="1" applyAlignment="1">
      <alignment horizontal="center" vertical="center"/>
    </xf>
    <xf numFmtId="166" fontId="17" fillId="0" borderId="43" xfId="0" applyNumberFormat="1" applyFont="1" applyBorder="1" applyAlignment="1">
      <alignment horizontal="center" vertical="center"/>
    </xf>
    <xf numFmtId="166" fontId="17" fillId="0" borderId="46" xfId="0" applyNumberFormat="1" applyFont="1" applyBorder="1" applyAlignment="1">
      <alignment horizontal="center" vertical="center"/>
    </xf>
    <xf numFmtId="166" fontId="16" fillId="2" borderId="50" xfId="0" applyNumberFormat="1" applyFont="1" applyFill="1" applyBorder="1" applyAlignment="1">
      <alignment vertical="center"/>
    </xf>
    <xf numFmtId="166" fontId="16" fillId="2" borderId="56" xfId="0" applyNumberFormat="1" applyFont="1" applyFill="1" applyBorder="1" applyAlignment="1">
      <alignment vertical="center"/>
    </xf>
    <xf numFmtId="166" fontId="19" fillId="2" borderId="53" xfId="0" applyNumberFormat="1" applyFont="1" applyFill="1" applyBorder="1" applyAlignment="1">
      <alignment vertical="center"/>
    </xf>
    <xf numFmtId="166" fontId="19" fillId="2" borderId="54" xfId="0" applyNumberFormat="1" applyFont="1" applyFill="1" applyBorder="1" applyAlignment="1">
      <alignment vertical="center"/>
    </xf>
    <xf numFmtId="166" fontId="19" fillId="2" borderId="50" xfId="0" applyNumberFormat="1" applyFont="1" applyFill="1" applyBorder="1" applyAlignment="1">
      <alignment vertical="center"/>
    </xf>
    <xf numFmtId="166" fontId="19" fillId="2" borderId="56" xfId="0" applyNumberFormat="1" applyFont="1" applyFill="1" applyBorder="1" applyAlignment="1">
      <alignment vertical="center"/>
    </xf>
    <xf numFmtId="166" fontId="19" fillId="2" borderId="57" xfId="0" applyNumberFormat="1" applyFont="1" applyFill="1" applyBorder="1" applyAlignment="1">
      <alignment vertical="center"/>
    </xf>
    <xf numFmtId="166" fontId="17" fillId="4" borderId="61" xfId="0" applyNumberFormat="1" applyFont="1" applyFill="1" applyBorder="1" applyAlignment="1">
      <alignment vertical="center"/>
    </xf>
    <xf numFmtId="166" fontId="17" fillId="4" borderId="62" xfId="0" applyNumberFormat="1" applyFont="1" applyFill="1" applyBorder="1" applyAlignment="1">
      <alignment vertical="center"/>
    </xf>
    <xf numFmtId="166" fontId="16" fillId="4" borderId="62" xfId="0" applyNumberFormat="1" applyFont="1" applyFill="1" applyBorder="1" applyAlignment="1">
      <alignment vertical="center"/>
    </xf>
    <xf numFmtId="166" fontId="19" fillId="2" borderId="47" xfId="0" applyNumberFormat="1" applyFont="1" applyFill="1" applyBorder="1" applyAlignment="1">
      <alignment vertical="center"/>
    </xf>
    <xf numFmtId="166" fontId="19" fillId="2" borderId="48" xfId="0" applyNumberFormat="1" applyFont="1" applyFill="1" applyBorder="1" applyAlignment="1">
      <alignment vertical="center"/>
    </xf>
    <xf numFmtId="166" fontId="19" fillId="5" borderId="47" xfId="0" applyNumberFormat="1" applyFont="1" applyFill="1" applyBorder="1" applyAlignment="1">
      <alignment vertical="center"/>
    </xf>
    <xf numFmtId="166" fontId="19" fillId="5" borderId="48" xfId="0" applyNumberFormat="1" applyFont="1" applyFill="1" applyBorder="1" applyAlignment="1">
      <alignment vertical="center"/>
    </xf>
    <xf numFmtId="166" fontId="19" fillId="5" borderId="53" xfId="0" applyNumberFormat="1" applyFont="1" applyFill="1" applyBorder="1" applyAlignment="1">
      <alignment vertical="center"/>
    </xf>
    <xf numFmtId="166" fontId="19" fillId="5" borderId="54" xfId="0" applyNumberFormat="1" applyFont="1" applyFill="1" applyBorder="1" applyAlignment="1">
      <alignment vertical="center"/>
    </xf>
    <xf numFmtId="166" fontId="16" fillId="2" borderId="61" xfId="0" applyNumberFormat="1" applyFont="1" applyFill="1" applyBorder="1" applyAlignment="1">
      <alignment vertical="center"/>
    </xf>
    <xf numFmtId="166" fontId="16" fillId="2" borderId="62" xfId="0" applyNumberFormat="1" applyFont="1" applyFill="1" applyBorder="1" applyAlignment="1">
      <alignment vertical="center"/>
    </xf>
    <xf numFmtId="166" fontId="16" fillId="5" borderId="61" xfId="0" applyNumberFormat="1" applyFont="1" applyFill="1" applyBorder="1" applyAlignment="1">
      <alignment vertical="center"/>
    </xf>
    <xf numFmtId="166" fontId="16" fillId="5" borderId="62" xfId="0" applyNumberFormat="1" applyFont="1" applyFill="1" applyBorder="1" applyAlignment="1">
      <alignment vertical="center"/>
    </xf>
    <xf numFmtId="166" fontId="17" fillId="4" borderId="66" xfId="0" applyNumberFormat="1" applyFont="1" applyFill="1" applyBorder="1" applyAlignment="1">
      <alignment vertical="center"/>
    </xf>
    <xf numFmtId="166" fontId="17" fillId="4" borderId="67" xfId="0" applyNumberFormat="1" applyFont="1" applyFill="1" applyBorder="1" applyAlignment="1">
      <alignment vertical="center"/>
    </xf>
    <xf numFmtId="166" fontId="16" fillId="4" borderId="66" xfId="0" applyNumberFormat="1" applyFont="1" applyFill="1" applyBorder="1" applyAlignment="1">
      <alignment vertical="center"/>
    </xf>
    <xf numFmtId="166" fontId="16" fillId="4" borderId="67" xfId="0" applyNumberFormat="1" applyFont="1" applyFill="1" applyBorder="1" applyAlignment="1">
      <alignment vertical="center"/>
    </xf>
    <xf numFmtId="166" fontId="16" fillId="2" borderId="47" xfId="0" applyNumberFormat="1" applyFont="1" applyFill="1" applyBorder="1" applyAlignment="1">
      <alignment vertical="center"/>
    </xf>
    <xf numFmtId="166" fontId="16" fillId="2" borderId="48" xfId="0" applyNumberFormat="1" applyFont="1" applyFill="1" applyBorder="1" applyAlignment="1">
      <alignment vertical="center"/>
    </xf>
    <xf numFmtId="166" fontId="16" fillId="5" borderId="47" xfId="0" applyNumberFormat="1" applyFont="1" applyFill="1" applyBorder="1" applyAlignment="1">
      <alignment vertical="center"/>
    </xf>
    <xf numFmtId="166" fontId="16" fillId="5" borderId="48" xfId="0" applyNumberFormat="1" applyFont="1" applyFill="1" applyBorder="1" applyAlignment="1">
      <alignment vertical="center"/>
    </xf>
    <xf numFmtId="166" fontId="19" fillId="2" borderId="61" xfId="0" applyNumberFormat="1" applyFont="1" applyFill="1" applyBorder="1" applyAlignment="1">
      <alignment vertical="center"/>
    </xf>
    <xf numFmtId="166" fontId="19" fillId="2" borderId="62" xfId="0" applyNumberFormat="1" applyFont="1" applyFill="1" applyBorder="1" applyAlignment="1">
      <alignment vertical="center"/>
    </xf>
    <xf numFmtId="166" fontId="19" fillId="5" borderId="61" xfId="0" applyNumberFormat="1" applyFont="1" applyFill="1" applyBorder="1" applyAlignment="1">
      <alignment vertical="center"/>
    </xf>
    <xf numFmtId="166" fontId="19" fillId="5" borderId="62" xfId="0" applyNumberFormat="1" applyFont="1" applyFill="1" applyBorder="1" applyAlignment="1">
      <alignment vertical="center"/>
    </xf>
    <xf numFmtId="166" fontId="16" fillId="2" borderId="53" xfId="0" applyNumberFormat="1" applyFont="1" applyFill="1" applyBorder="1" applyAlignment="1">
      <alignment vertical="center"/>
    </xf>
    <xf numFmtId="166" fontId="16" fillId="2" borderId="54" xfId="0" applyNumberFormat="1" applyFont="1" applyFill="1" applyBorder="1" applyAlignment="1">
      <alignment vertical="center"/>
    </xf>
    <xf numFmtId="166" fontId="16" fillId="5" borderId="53" xfId="0" applyNumberFormat="1" applyFont="1" applyFill="1" applyBorder="1" applyAlignment="1">
      <alignment vertical="center"/>
    </xf>
    <xf numFmtId="166" fontId="16" fillId="5" borderId="54" xfId="0" applyNumberFormat="1" applyFont="1" applyFill="1" applyBorder="1" applyAlignment="1">
      <alignment vertical="center"/>
    </xf>
    <xf numFmtId="166" fontId="16" fillId="2" borderId="66" xfId="0" applyNumberFormat="1" applyFont="1" applyFill="1" applyBorder="1" applyAlignment="1">
      <alignment vertical="center"/>
    </xf>
    <xf numFmtId="166" fontId="16" fillId="2" borderId="67" xfId="0" applyNumberFormat="1" applyFont="1" applyFill="1" applyBorder="1" applyAlignment="1">
      <alignment vertical="center"/>
    </xf>
    <xf numFmtId="166" fontId="16" fillId="5" borderId="66" xfId="0" applyNumberFormat="1" applyFont="1" applyFill="1" applyBorder="1" applyAlignment="1">
      <alignment vertical="center"/>
    </xf>
    <xf numFmtId="166" fontId="16" fillId="5" borderId="67" xfId="0" applyNumberFormat="1" applyFont="1" applyFill="1" applyBorder="1" applyAlignment="1">
      <alignment vertical="center"/>
    </xf>
    <xf numFmtId="166" fontId="19" fillId="2" borderId="66" xfId="0" applyNumberFormat="1" applyFont="1" applyFill="1" applyBorder="1" applyAlignment="1">
      <alignment vertical="center"/>
    </xf>
    <xf numFmtId="166" fontId="19" fillId="2" borderId="67" xfId="0" applyNumberFormat="1" applyFont="1" applyFill="1" applyBorder="1" applyAlignment="1">
      <alignment vertical="center"/>
    </xf>
    <xf numFmtId="166" fontId="17" fillId="4" borderId="69" xfId="0" applyNumberFormat="1" applyFont="1" applyFill="1" applyBorder="1" applyAlignment="1">
      <alignment vertical="center"/>
    </xf>
    <xf numFmtId="166" fontId="17" fillId="4" borderId="70" xfId="0" applyNumberFormat="1" applyFont="1" applyFill="1" applyBorder="1" applyAlignment="1">
      <alignment vertical="center"/>
    </xf>
    <xf numFmtId="166" fontId="16" fillId="4" borderId="69" xfId="0" applyNumberFormat="1" applyFont="1" applyFill="1" applyBorder="1" applyAlignment="1">
      <alignment vertical="center"/>
    </xf>
    <xf numFmtId="14" fontId="7" fillId="4" borderId="17" xfId="0" applyNumberFormat="1" applyFont="1" applyFill="1" applyBorder="1" applyAlignment="1">
      <alignment horizontal="center"/>
    </xf>
    <xf numFmtId="164" fontId="16" fillId="5" borderId="2" xfId="0" applyNumberFormat="1" applyFont="1" applyFill="1" applyBorder="1" applyAlignment="1">
      <alignment vertical="center"/>
    </xf>
    <xf numFmtId="164" fontId="16" fillId="5" borderId="2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64" fontId="17" fillId="5" borderId="0" xfId="0" applyNumberFormat="1" applyFont="1" applyFill="1" applyAlignment="1">
      <alignment vertical="center"/>
    </xf>
    <xf numFmtId="49" fontId="17" fillId="5" borderId="0" xfId="0" applyNumberFormat="1" applyFont="1" applyFill="1" applyAlignment="1">
      <alignment horizontal="center" vertical="center"/>
    </xf>
    <xf numFmtId="49" fontId="16" fillId="5" borderId="0" xfId="0" applyNumberFormat="1" applyFont="1" applyFill="1" applyAlignment="1">
      <alignment vertical="center"/>
    </xf>
    <xf numFmtId="164" fontId="23" fillId="5" borderId="0" xfId="0" applyNumberFormat="1" applyFont="1" applyFill="1" applyAlignment="1">
      <alignment vertical="center"/>
    </xf>
    <xf numFmtId="164" fontId="21" fillId="5" borderId="0" xfId="0" applyNumberFormat="1" applyFont="1" applyFill="1" applyAlignment="1">
      <alignment vertical="center"/>
    </xf>
    <xf numFmtId="49" fontId="17" fillId="5" borderId="0" xfId="0" applyNumberFormat="1" applyFont="1" applyFill="1" applyAlignment="1">
      <alignment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7" fillId="4" borderId="10" xfId="0" applyNumberFormat="1" applyFont="1" applyFill="1" applyBorder="1" applyAlignment="1">
      <alignment vertical="center"/>
    </xf>
    <xf numFmtId="49" fontId="17" fillId="4" borderId="11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49" fontId="17" fillId="4" borderId="78" xfId="0" applyNumberFormat="1" applyFont="1" applyFill="1" applyBorder="1" applyAlignment="1">
      <alignment horizontal="center" vertical="center"/>
    </xf>
    <xf numFmtId="49" fontId="17" fillId="4" borderId="72" xfId="0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vertical="center"/>
    </xf>
    <xf numFmtId="49" fontId="17" fillId="0" borderId="24" xfId="0" applyNumberFormat="1" applyFont="1" applyBorder="1" applyAlignment="1">
      <alignment horizontal="center" vertical="center"/>
    </xf>
    <xf numFmtId="165" fontId="16" fillId="2" borderId="64" xfId="0" applyNumberFormat="1" applyFont="1" applyFill="1" applyBorder="1" applyAlignment="1">
      <alignment vertical="center"/>
    </xf>
    <xf numFmtId="49" fontId="19" fillId="2" borderId="11" xfId="0" applyNumberFormat="1" applyFont="1" applyFill="1" applyBorder="1" applyAlignment="1">
      <alignment vertical="center"/>
    </xf>
    <xf numFmtId="49" fontId="17" fillId="4" borderId="33" xfId="0" applyNumberFormat="1" applyFont="1" applyFill="1" applyBorder="1" applyAlignment="1">
      <alignment vertical="center"/>
    </xf>
    <xf numFmtId="9" fontId="17" fillId="4" borderId="68" xfId="0" applyNumberFormat="1" applyFont="1" applyFill="1" applyBorder="1" applyAlignment="1">
      <alignment horizontal="right" vertical="center"/>
    </xf>
    <xf numFmtId="9" fontId="16" fillId="4" borderId="68" xfId="0" applyNumberFormat="1" applyFont="1" applyFill="1" applyBorder="1" applyAlignment="1">
      <alignment horizontal="right" vertical="center"/>
    </xf>
    <xf numFmtId="164" fontId="16" fillId="2" borderId="15" xfId="0" applyNumberFormat="1" applyFont="1" applyFill="1" applyBorder="1" applyAlignment="1">
      <alignment vertical="center"/>
    </xf>
    <xf numFmtId="165" fontId="19" fillId="2" borderId="64" xfId="0" applyNumberFormat="1" applyFont="1" applyFill="1" applyBorder="1" applyAlignment="1">
      <alignment vertical="center"/>
    </xf>
    <xf numFmtId="49" fontId="23" fillId="5" borderId="64" xfId="0" applyNumberFormat="1" applyFont="1" applyFill="1" applyBorder="1" applyAlignment="1">
      <alignment horizontal="right" vertical="center"/>
    </xf>
    <xf numFmtId="49" fontId="17" fillId="2" borderId="11" xfId="0" applyNumberFormat="1" applyFont="1" applyFill="1" applyBorder="1" applyAlignment="1">
      <alignment vertical="center"/>
    </xf>
    <xf numFmtId="165" fontId="19" fillId="2" borderId="65" xfId="0" applyNumberFormat="1" applyFont="1" applyFill="1" applyBorder="1" applyAlignment="1">
      <alignment vertical="center"/>
    </xf>
    <xf numFmtId="164" fontId="27" fillId="2" borderId="14" xfId="0" applyNumberFormat="1" applyFont="1" applyFill="1" applyBorder="1" applyAlignment="1">
      <alignment vertical="center"/>
    </xf>
    <xf numFmtId="165" fontId="16" fillId="2" borderId="63" xfId="0" applyNumberFormat="1" applyFont="1" applyFill="1" applyBorder="1" applyAlignment="1">
      <alignment vertical="center"/>
    </xf>
    <xf numFmtId="49" fontId="23" fillId="5" borderId="63" xfId="0" applyNumberFormat="1" applyFont="1" applyFill="1" applyBorder="1" applyAlignment="1">
      <alignment horizontal="right" vertical="center"/>
    </xf>
    <xf numFmtId="164" fontId="19" fillId="2" borderId="15" xfId="0" applyNumberFormat="1" applyFont="1" applyFill="1" applyBorder="1" applyAlignment="1">
      <alignment vertical="center"/>
    </xf>
    <xf numFmtId="165" fontId="16" fillId="5" borderId="64" xfId="0" applyNumberFormat="1" applyFont="1" applyFill="1" applyBorder="1" applyAlignment="1">
      <alignment vertical="center"/>
    </xf>
    <xf numFmtId="165" fontId="19" fillId="5" borderId="65" xfId="0" applyNumberFormat="1" applyFont="1" applyFill="1" applyBorder="1" applyAlignment="1">
      <alignment vertical="center"/>
    </xf>
    <xf numFmtId="49" fontId="19" fillId="2" borderId="14" xfId="0" applyNumberFormat="1" applyFont="1" applyFill="1" applyBorder="1" applyAlignment="1">
      <alignment vertical="center"/>
    </xf>
    <xf numFmtId="9" fontId="23" fillId="4" borderId="68" xfId="0" applyNumberFormat="1" applyFont="1" applyFill="1" applyBorder="1" applyAlignment="1">
      <alignment horizontal="right" vertical="center"/>
    </xf>
    <xf numFmtId="165" fontId="19" fillId="5" borderId="64" xfId="0" applyNumberFormat="1" applyFont="1" applyFill="1" applyBorder="1" applyAlignment="1">
      <alignment vertical="center"/>
    </xf>
    <xf numFmtId="165" fontId="16" fillId="2" borderId="65" xfId="0" applyNumberFormat="1" applyFont="1" applyFill="1" applyBorder="1" applyAlignment="1">
      <alignment vertical="center"/>
    </xf>
    <xf numFmtId="165" fontId="16" fillId="5" borderId="65" xfId="0" applyNumberFormat="1" applyFont="1" applyFill="1" applyBorder="1" applyAlignment="1">
      <alignment vertical="center"/>
    </xf>
    <xf numFmtId="49" fontId="28" fillId="2" borderId="11" xfId="0" applyNumberFormat="1" applyFont="1" applyFill="1" applyBorder="1" applyAlignment="1">
      <alignment vertical="center"/>
    </xf>
    <xf numFmtId="164" fontId="19" fillId="2" borderId="11" xfId="0" applyNumberFormat="1" applyFont="1" applyFill="1" applyBorder="1" applyAlignment="1">
      <alignment vertical="center"/>
    </xf>
    <xf numFmtId="49" fontId="23" fillId="2" borderId="63" xfId="0" applyNumberFormat="1" applyFont="1" applyFill="1" applyBorder="1" applyAlignment="1">
      <alignment horizontal="right" vertical="center"/>
    </xf>
    <xf numFmtId="166" fontId="23" fillId="2" borderId="0" xfId="1" applyNumberFormat="1" applyFont="1" applyFill="1" applyBorder="1" applyAlignment="1"/>
    <xf numFmtId="166" fontId="16" fillId="4" borderId="33" xfId="1" applyNumberFormat="1" applyFont="1" applyFill="1" applyBorder="1" applyAlignment="1"/>
    <xf numFmtId="166" fontId="23" fillId="2" borderId="36" xfId="1" applyNumberFormat="1" applyFont="1" applyFill="1" applyBorder="1" applyAlignment="1"/>
    <xf numFmtId="166" fontId="19" fillId="2" borderId="0" xfId="1" applyNumberFormat="1" applyFont="1" applyFill="1" applyBorder="1" applyAlignment="1"/>
    <xf numFmtId="166" fontId="19" fillId="2" borderId="31" xfId="1" applyNumberFormat="1" applyFont="1" applyFill="1" applyBorder="1" applyAlignment="1"/>
    <xf numFmtId="166" fontId="16" fillId="2" borderId="36" xfId="1" applyNumberFormat="1" applyFont="1" applyFill="1" applyBorder="1" applyAlignment="1"/>
    <xf numFmtId="166" fontId="19" fillId="2" borderId="36" xfId="1" applyNumberFormat="1" applyFont="1" applyFill="1" applyBorder="1" applyAlignment="1"/>
    <xf numFmtId="166" fontId="16" fillId="3" borderId="38" xfId="1" applyNumberFormat="1" applyFont="1" applyFill="1" applyBorder="1" applyAlignment="1"/>
    <xf numFmtId="166" fontId="19" fillId="2" borderId="64" xfId="0" applyNumberFormat="1" applyFont="1" applyFill="1" applyBorder="1" applyAlignment="1">
      <alignment vertical="center"/>
    </xf>
    <xf numFmtId="166" fontId="16" fillId="2" borderId="63" xfId="0" applyNumberFormat="1" applyFont="1" applyFill="1" applyBorder="1" applyAlignment="1">
      <alignment vertical="center"/>
    </xf>
    <xf numFmtId="9" fontId="23" fillId="2" borderId="72" xfId="0" applyNumberFormat="1" applyFont="1" applyFill="1" applyBorder="1" applyAlignment="1">
      <alignment horizontal="right" vertical="center"/>
    </xf>
    <xf numFmtId="43" fontId="23" fillId="2" borderId="65" xfId="1" applyFont="1" applyFill="1" applyBorder="1" applyAlignment="1">
      <alignment horizontal="right" vertical="center"/>
    </xf>
    <xf numFmtId="43" fontId="19" fillId="3" borderId="0" xfId="1" applyFont="1" applyFill="1" applyBorder="1" applyAlignment="1">
      <alignment vertical="center"/>
    </xf>
    <xf numFmtId="43" fontId="23" fillId="5" borderId="65" xfId="1" applyFont="1" applyFill="1" applyBorder="1" applyAlignment="1">
      <alignment horizontal="right" vertical="center"/>
    </xf>
    <xf numFmtId="43" fontId="19" fillId="0" borderId="0" xfId="1" applyFont="1"/>
    <xf numFmtId="43" fontId="23" fillId="3" borderId="0" xfId="1" applyFont="1" applyFill="1" applyBorder="1" applyAlignment="1">
      <alignment horizontal="right" vertical="center"/>
    </xf>
    <xf numFmtId="4" fontId="16" fillId="2" borderId="0" xfId="0" applyNumberFormat="1" applyFont="1" applyFill="1" applyAlignment="1">
      <alignment vertical="center"/>
    </xf>
    <xf numFmtId="4" fontId="16" fillId="2" borderId="0" xfId="0" applyNumberFormat="1" applyFont="1" applyFill="1"/>
    <xf numFmtId="4" fontId="16" fillId="2" borderId="7" xfId="0" applyNumberFormat="1" applyFont="1" applyFill="1" applyBorder="1"/>
    <xf numFmtId="4" fontId="17" fillId="4" borderId="10" xfId="0" applyNumberFormat="1" applyFont="1" applyFill="1" applyBorder="1" applyAlignment="1">
      <alignment horizontal="center" vertical="center" wrapText="1"/>
    </xf>
    <xf numFmtId="4" fontId="17" fillId="4" borderId="16" xfId="0" applyNumberFormat="1" applyFont="1" applyFill="1" applyBorder="1" applyAlignment="1">
      <alignment horizontal="center" vertical="center" wrapText="1"/>
    </xf>
    <xf numFmtId="4" fontId="17" fillId="4" borderId="12" xfId="0" applyNumberFormat="1" applyFont="1" applyFill="1" applyBorder="1" applyAlignment="1">
      <alignment horizontal="center"/>
    </xf>
    <xf numFmtId="4" fontId="17" fillId="4" borderId="7" xfId="0" applyNumberFormat="1" applyFont="1" applyFill="1" applyBorder="1" applyAlignment="1">
      <alignment horizontal="center"/>
    </xf>
    <xf numFmtId="4" fontId="23" fillId="2" borderId="13" xfId="0" applyNumberFormat="1" applyFont="1" applyFill="1" applyBorder="1"/>
    <xf numFmtId="4" fontId="23" fillId="2" borderId="16" xfId="0" applyNumberFormat="1" applyFont="1" applyFill="1" applyBorder="1"/>
    <xf numFmtId="4" fontId="23" fillId="2" borderId="11" xfId="0" applyNumberFormat="1" applyFont="1" applyFill="1" applyBorder="1"/>
    <xf numFmtId="4" fontId="23" fillId="2" borderId="0" xfId="0" applyNumberFormat="1" applyFont="1" applyFill="1"/>
    <xf numFmtId="168" fontId="17" fillId="5" borderId="0" xfId="0" applyNumberFormat="1" applyFont="1" applyFill="1" applyAlignment="1">
      <alignment vertical="center"/>
    </xf>
    <xf numFmtId="168" fontId="17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horizontal="left" vertical="center"/>
    </xf>
    <xf numFmtId="168" fontId="21" fillId="5" borderId="0" xfId="0" applyNumberFormat="1" applyFont="1" applyFill="1" applyAlignment="1">
      <alignment horizontal="left" vertical="center"/>
    </xf>
    <xf numFmtId="168" fontId="21" fillId="5" borderId="0" xfId="0" applyNumberFormat="1" applyFont="1" applyFill="1" applyAlignment="1">
      <alignment vertical="center"/>
    </xf>
    <xf numFmtId="168" fontId="19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168" fontId="17" fillId="4" borderId="43" xfId="0" applyNumberFormat="1" applyFont="1" applyFill="1" applyBorder="1" applyAlignment="1">
      <alignment horizontal="center" vertical="center"/>
    </xf>
    <xf numFmtId="168" fontId="17" fillId="4" borderId="47" xfId="0" applyNumberFormat="1" applyFont="1" applyFill="1" applyBorder="1" applyAlignment="1">
      <alignment horizontal="center" vertical="center"/>
    </xf>
    <xf numFmtId="168" fontId="17" fillId="4" borderId="48" xfId="0" applyNumberFormat="1" applyFont="1" applyFill="1" applyBorder="1" applyAlignment="1">
      <alignment horizontal="center" vertical="center"/>
    </xf>
    <xf numFmtId="168" fontId="17" fillId="4" borderId="47" xfId="0" applyNumberFormat="1" applyFont="1" applyFill="1" applyBorder="1" applyAlignment="1">
      <alignment horizontal="center" vertical="center" wrapText="1"/>
    </xf>
    <xf numFmtId="168" fontId="17" fillId="4" borderId="50" xfId="0" applyNumberFormat="1" applyFont="1" applyFill="1" applyBorder="1" applyAlignment="1">
      <alignment horizontal="center" vertical="center"/>
    </xf>
    <xf numFmtId="168" fontId="17" fillId="4" borderId="51" xfId="0" applyNumberFormat="1" applyFont="1" applyFill="1" applyBorder="1" applyAlignment="1">
      <alignment horizontal="center" vertical="center"/>
    </xf>
    <xf numFmtId="169" fontId="21" fillId="2" borderId="0" xfId="0" applyNumberFormat="1" applyFont="1" applyFill="1"/>
    <xf numFmtId="169" fontId="21" fillId="6" borderId="22" xfId="0" applyNumberFormat="1" applyFont="1" applyFill="1" applyBorder="1"/>
    <xf numFmtId="169" fontId="23" fillId="6" borderId="22" xfId="0" applyNumberFormat="1" applyFont="1" applyFill="1" applyBorder="1"/>
    <xf numFmtId="49" fontId="21" fillId="2" borderId="11" xfId="0" applyNumberFormat="1" applyFont="1" applyFill="1" applyBorder="1"/>
    <xf numFmtId="49" fontId="17" fillId="6" borderId="10" xfId="0" applyNumberFormat="1" applyFont="1" applyFill="1" applyBorder="1"/>
    <xf numFmtId="10" fontId="17" fillId="4" borderId="20" xfId="2" applyNumberFormat="1" applyFont="1" applyFill="1" applyBorder="1" applyAlignment="1"/>
    <xf numFmtId="10" fontId="17" fillId="4" borderId="102" xfId="2" applyNumberFormat="1" applyFont="1" applyFill="1" applyBorder="1" applyAlignment="1"/>
    <xf numFmtId="49" fontId="17" fillId="3" borderId="18" xfId="0" applyNumberFormat="1" applyFont="1" applyFill="1" applyBorder="1"/>
    <xf numFmtId="0" fontId="19" fillId="3" borderId="18" xfId="0" applyFont="1" applyFill="1" applyBorder="1"/>
    <xf numFmtId="169" fontId="19" fillId="3" borderId="20" xfId="0" applyNumberFormat="1" applyFont="1" applyFill="1" applyBorder="1"/>
    <xf numFmtId="169" fontId="13" fillId="2" borderId="18" xfId="0" applyNumberFormat="1" applyFont="1" applyFill="1" applyBorder="1" applyAlignment="1">
      <alignment horizontal="center"/>
    </xf>
    <xf numFmtId="169" fontId="21" fillId="2" borderId="26" xfId="0" applyNumberFormat="1" applyFont="1" applyFill="1" applyBorder="1"/>
    <xf numFmtId="166" fontId="17" fillId="4" borderId="11" xfId="0" applyNumberFormat="1" applyFont="1" applyFill="1" applyBorder="1" applyAlignment="1">
      <alignment horizontal="center"/>
    </xf>
    <xf numFmtId="166" fontId="19" fillId="5" borderId="53" xfId="1" applyNumberFormat="1" applyFont="1" applyFill="1" applyBorder="1" applyAlignment="1">
      <alignment vertical="center"/>
    </xf>
    <xf numFmtId="166" fontId="17" fillId="4" borderId="21" xfId="0" applyNumberFormat="1" applyFont="1" applyFill="1" applyBorder="1" applyAlignment="1">
      <alignment horizontal="center" vertical="center" wrapText="1"/>
    </xf>
    <xf numFmtId="166" fontId="17" fillId="4" borderId="23" xfId="0" applyNumberFormat="1" applyFont="1" applyFill="1" applyBorder="1" applyAlignment="1">
      <alignment horizontal="center" vertical="center" wrapText="1"/>
    </xf>
    <xf numFmtId="166" fontId="17" fillId="4" borderId="92" xfId="0" applyNumberFormat="1" applyFont="1" applyFill="1" applyBorder="1" applyAlignment="1">
      <alignment horizontal="center"/>
    </xf>
    <xf numFmtId="166" fontId="17" fillId="4" borderId="78" xfId="0" applyNumberFormat="1" applyFont="1" applyFill="1" applyBorder="1" applyAlignment="1">
      <alignment horizontal="center"/>
    </xf>
    <xf numFmtId="166" fontId="17" fillId="4" borderId="73" xfId="0" applyNumberFormat="1" applyFont="1" applyFill="1" applyBorder="1" applyAlignment="1">
      <alignment horizontal="center" vertical="center"/>
    </xf>
    <xf numFmtId="166" fontId="17" fillId="4" borderId="76" xfId="0" applyNumberFormat="1" applyFont="1" applyFill="1" applyBorder="1" applyAlignment="1">
      <alignment horizontal="center" vertical="center"/>
    </xf>
    <xf numFmtId="166" fontId="17" fillId="4" borderId="77" xfId="0" applyNumberFormat="1" applyFont="1" applyFill="1" applyBorder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82" xfId="0" applyNumberFormat="1" applyFont="1" applyBorder="1" applyAlignment="1">
      <alignment horizontal="center" vertical="center"/>
    </xf>
    <xf numFmtId="166" fontId="17" fillId="0" borderId="55" xfId="0" applyNumberFormat="1" applyFont="1" applyBorder="1" applyAlignment="1">
      <alignment horizontal="center" vertical="center"/>
    </xf>
    <xf numFmtId="166" fontId="29" fillId="9" borderId="0" xfId="0" applyNumberFormat="1" applyFont="1" applyFill="1" applyAlignment="1">
      <alignment vertical="center"/>
    </xf>
    <xf numFmtId="166" fontId="19" fillId="9" borderId="0" xfId="0" applyNumberFormat="1" applyFont="1" applyFill="1" applyAlignment="1">
      <alignment vertical="center"/>
    </xf>
    <xf numFmtId="166" fontId="17" fillId="4" borderId="83" xfId="0" applyNumberFormat="1" applyFont="1" applyFill="1" applyBorder="1" applyAlignment="1">
      <alignment vertical="center"/>
    </xf>
    <xf numFmtId="166" fontId="19" fillId="2" borderId="73" xfId="0" applyNumberFormat="1" applyFont="1" applyFill="1" applyBorder="1" applyAlignment="1">
      <alignment vertical="center"/>
    </xf>
    <xf numFmtId="166" fontId="19" fillId="2" borderId="82" xfId="0" applyNumberFormat="1" applyFont="1" applyFill="1" applyBorder="1" applyAlignment="1">
      <alignment vertical="center"/>
    </xf>
    <xf numFmtId="166" fontId="16" fillId="2" borderId="84" xfId="0" applyNumberFormat="1" applyFont="1" applyFill="1" applyBorder="1" applyAlignment="1">
      <alignment vertical="center"/>
    </xf>
    <xf numFmtId="166" fontId="16" fillId="2" borderId="73" xfId="0" applyNumberFormat="1" applyFont="1" applyFill="1" applyBorder="1" applyAlignment="1">
      <alignment vertical="center"/>
    </xf>
    <xf numFmtId="166" fontId="19" fillId="9" borderId="85" xfId="0" applyNumberFormat="1" applyFont="1" applyFill="1" applyBorder="1" applyAlignment="1">
      <alignment vertical="center"/>
    </xf>
    <xf numFmtId="166" fontId="16" fillId="2" borderId="82" xfId="0" applyNumberFormat="1" applyFont="1" applyFill="1" applyBorder="1" applyAlignment="1">
      <alignment vertical="center"/>
    </xf>
    <xf numFmtId="166" fontId="17" fillId="4" borderId="75" xfId="0" applyNumberFormat="1" applyFont="1" applyFill="1" applyBorder="1" applyAlignment="1">
      <alignment horizontal="center" vertical="center"/>
    </xf>
    <xf numFmtId="166" fontId="17" fillId="4" borderId="80" xfId="0" applyNumberFormat="1" applyFont="1" applyFill="1" applyBorder="1" applyAlignment="1">
      <alignment horizontal="center" vertical="center"/>
    </xf>
    <xf numFmtId="166" fontId="17" fillId="4" borderId="31" xfId="0" applyNumberFormat="1" applyFont="1" applyFill="1" applyBorder="1" applyAlignment="1">
      <alignment horizontal="center" vertical="center"/>
    </xf>
    <xf numFmtId="166" fontId="16" fillId="2" borderId="75" xfId="0" applyNumberFormat="1" applyFont="1" applyFill="1" applyBorder="1" applyAlignment="1">
      <alignment vertical="center"/>
    </xf>
    <xf numFmtId="166" fontId="29" fillId="9" borderId="50" xfId="0" applyNumberFormat="1" applyFont="1" applyFill="1" applyBorder="1" applyAlignment="1">
      <alignment vertical="center"/>
    </xf>
    <xf numFmtId="166" fontId="19" fillId="9" borderId="50" xfId="0" applyNumberFormat="1" applyFont="1" applyFill="1" applyBorder="1" applyAlignment="1">
      <alignment vertical="center"/>
    </xf>
    <xf numFmtId="166" fontId="19" fillId="2" borderId="84" xfId="0" applyNumberFormat="1" applyFont="1" applyFill="1" applyBorder="1" applyAlignment="1">
      <alignment vertical="center"/>
    </xf>
    <xf numFmtId="166" fontId="17" fillId="4" borderId="61" xfId="0" applyNumberFormat="1" applyFont="1" applyFill="1" applyBorder="1" applyAlignment="1">
      <alignment horizontal="center" vertical="center"/>
    </xf>
    <xf numFmtId="166" fontId="17" fillId="4" borderId="62" xfId="0" applyNumberFormat="1" applyFont="1" applyFill="1" applyBorder="1" applyAlignment="1">
      <alignment horizontal="center" vertical="center"/>
    </xf>
    <xf numFmtId="166" fontId="17" fillId="4" borderId="81" xfId="0" applyNumberFormat="1" applyFont="1" applyFill="1" applyBorder="1" applyAlignment="1">
      <alignment horizontal="center" vertical="center"/>
    </xf>
    <xf numFmtId="166" fontId="17" fillId="0" borderId="53" xfId="0" applyNumberFormat="1" applyFont="1" applyBorder="1" applyAlignment="1">
      <alignment horizontal="center" vertical="center"/>
    </xf>
    <xf numFmtId="166" fontId="17" fillId="0" borderId="54" xfId="0" applyNumberFormat="1" applyFont="1" applyBorder="1" applyAlignment="1">
      <alignment horizontal="center" vertical="center"/>
    </xf>
    <xf numFmtId="166" fontId="3" fillId="2" borderId="11" xfId="0" applyNumberFormat="1" applyFont="1" applyFill="1" applyBorder="1"/>
    <xf numFmtId="166" fontId="3" fillId="2" borderId="0" xfId="0" applyNumberFormat="1" applyFont="1" applyFill="1"/>
    <xf numFmtId="166" fontId="17" fillId="4" borderId="100" xfId="0" applyNumberFormat="1" applyFont="1" applyFill="1" applyBorder="1" applyAlignment="1">
      <alignment horizontal="center" vertical="center"/>
    </xf>
    <xf numFmtId="166" fontId="23" fillId="2" borderId="11" xfId="1" applyNumberFormat="1" applyFont="1" applyFill="1" applyBorder="1" applyAlignment="1"/>
    <xf numFmtId="166" fontId="23" fillId="2" borderId="15" xfId="1" applyNumberFormat="1" applyFont="1" applyFill="1" applyBorder="1" applyAlignment="1"/>
    <xf numFmtId="166" fontId="19" fillId="2" borderId="14" xfId="1" applyNumberFormat="1" applyFont="1" applyFill="1" applyBorder="1" applyAlignment="1"/>
    <xf numFmtId="166" fontId="19" fillId="2" borderId="11" xfId="1" applyNumberFormat="1" applyFont="1" applyFill="1" applyBorder="1" applyAlignment="1"/>
    <xf numFmtId="166" fontId="16" fillId="2" borderId="15" xfId="1" applyNumberFormat="1" applyFont="1" applyFill="1" applyBorder="1" applyAlignment="1"/>
    <xf numFmtId="166" fontId="19" fillId="2" borderId="15" xfId="1" applyNumberFormat="1" applyFont="1" applyFill="1" applyBorder="1" applyAlignment="1"/>
    <xf numFmtId="166" fontId="19" fillId="2" borderId="33" xfId="1" applyNumberFormat="1" applyFont="1" applyFill="1" applyBorder="1" applyAlignment="1"/>
    <xf numFmtId="166" fontId="19" fillId="0" borderId="0" xfId="1" applyNumberFormat="1" applyFont="1" applyAlignment="1"/>
    <xf numFmtId="166" fontId="19" fillId="2" borderId="56" xfId="1" applyNumberFormat="1" applyFont="1" applyFill="1" applyBorder="1" applyAlignment="1">
      <alignment vertical="center"/>
    </xf>
    <xf numFmtId="166" fontId="19" fillId="2" borderId="82" xfId="1" applyNumberFormat="1" applyFont="1" applyFill="1" applyBorder="1" applyAlignment="1">
      <alignment vertical="center"/>
    </xf>
    <xf numFmtId="166" fontId="19" fillId="2" borderId="54" xfId="1" applyNumberFormat="1" applyFont="1" applyFill="1" applyBorder="1" applyAlignment="1">
      <alignment vertical="center"/>
    </xf>
    <xf numFmtId="166" fontId="19" fillId="5" borderId="54" xfId="1" applyNumberFormat="1" applyFont="1" applyFill="1" applyBorder="1" applyAlignment="1">
      <alignment vertical="center"/>
    </xf>
    <xf numFmtId="166" fontId="19" fillId="5" borderId="56" xfId="1" applyNumberFormat="1" applyFont="1" applyFill="1" applyBorder="1" applyAlignment="1">
      <alignment vertical="center"/>
    </xf>
    <xf numFmtId="166" fontId="19" fillId="5" borderId="82" xfId="1" applyNumberFormat="1" applyFont="1" applyFill="1" applyBorder="1" applyAlignment="1">
      <alignment vertical="center"/>
    </xf>
    <xf numFmtId="166" fontId="19" fillId="5" borderId="56" xfId="0" applyNumberFormat="1" applyFont="1" applyFill="1" applyBorder="1" applyAlignment="1">
      <alignment vertical="center"/>
    </xf>
    <xf numFmtId="166" fontId="19" fillId="5" borderId="82" xfId="0" applyNumberFormat="1" applyFont="1" applyFill="1" applyBorder="1" applyAlignment="1">
      <alignment vertical="center"/>
    </xf>
    <xf numFmtId="166" fontId="19" fillId="2" borderId="99" xfId="0" applyNumberFormat="1" applyFont="1" applyFill="1" applyBorder="1" applyAlignment="1">
      <alignment vertical="center"/>
    </xf>
    <xf numFmtId="166" fontId="19" fillId="2" borderId="52" xfId="0" applyNumberFormat="1" applyFont="1" applyFill="1" applyBorder="1" applyAlignment="1">
      <alignment vertical="center"/>
    </xf>
    <xf numFmtId="166" fontId="19" fillId="2" borderId="55" xfId="0" applyNumberFormat="1" applyFont="1" applyFill="1" applyBorder="1" applyAlignment="1">
      <alignment vertical="center"/>
    </xf>
    <xf numFmtId="166" fontId="17" fillId="4" borderId="98" xfId="0" applyNumberFormat="1" applyFont="1" applyFill="1" applyBorder="1" applyAlignment="1">
      <alignment vertical="center"/>
    </xf>
    <xf numFmtId="166" fontId="17" fillId="4" borderId="97" xfId="0" applyNumberFormat="1" applyFont="1" applyFill="1" applyBorder="1" applyAlignment="1">
      <alignment vertical="center"/>
    </xf>
    <xf numFmtId="166" fontId="19" fillId="5" borderId="49" xfId="0" applyNumberFormat="1" applyFont="1" applyFill="1" applyBorder="1" applyAlignment="1">
      <alignment vertical="center"/>
    </xf>
    <xf numFmtId="166" fontId="19" fillId="5" borderId="96" xfId="0" applyNumberFormat="1" applyFont="1" applyFill="1" applyBorder="1" applyAlignment="1">
      <alignment vertical="center"/>
    </xf>
    <xf numFmtId="166" fontId="19" fillId="5" borderId="55" xfId="1" applyNumberFormat="1" applyFont="1" applyFill="1" applyBorder="1" applyAlignment="1">
      <alignment vertical="center"/>
    </xf>
    <xf numFmtId="166" fontId="19" fillId="5" borderId="95" xfId="1" applyNumberFormat="1" applyFont="1" applyFill="1" applyBorder="1" applyAlignment="1">
      <alignment vertical="center"/>
    </xf>
    <xf numFmtId="166" fontId="16" fillId="5" borderId="81" xfId="0" applyNumberFormat="1" applyFont="1" applyFill="1" applyBorder="1" applyAlignment="1">
      <alignment vertical="center"/>
    </xf>
    <xf numFmtId="166" fontId="16" fillId="5" borderId="93" xfId="0" applyNumberFormat="1" applyFont="1" applyFill="1" applyBorder="1" applyAlignment="1">
      <alignment vertical="center"/>
    </xf>
    <xf numFmtId="166" fontId="16" fillId="5" borderId="49" xfId="0" applyNumberFormat="1" applyFont="1" applyFill="1" applyBorder="1" applyAlignment="1">
      <alignment vertical="center"/>
    </xf>
    <xf numFmtId="166" fontId="16" fillId="5" borderId="96" xfId="0" applyNumberFormat="1" applyFont="1" applyFill="1" applyBorder="1" applyAlignment="1">
      <alignment vertical="center"/>
    </xf>
    <xf numFmtId="166" fontId="19" fillId="5" borderId="55" xfId="0" applyNumberFormat="1" applyFont="1" applyFill="1" applyBorder="1" applyAlignment="1">
      <alignment vertical="center"/>
    </xf>
    <xf numFmtId="166" fontId="19" fillId="5" borderId="95" xfId="0" applyNumberFormat="1" applyFont="1" applyFill="1" applyBorder="1" applyAlignment="1">
      <alignment vertical="center"/>
    </xf>
    <xf numFmtId="166" fontId="19" fillId="5" borderId="94" xfId="0" applyNumberFormat="1" applyFont="1" applyFill="1" applyBorder="1" applyAlignment="1">
      <alignment vertical="center"/>
    </xf>
    <xf numFmtId="166" fontId="19" fillId="5" borderId="80" xfId="0" applyNumberFormat="1" applyFont="1" applyFill="1" applyBorder="1" applyAlignment="1">
      <alignment vertical="center"/>
    </xf>
    <xf numFmtId="166" fontId="16" fillId="5" borderId="55" xfId="0" applyNumberFormat="1" applyFont="1" applyFill="1" applyBorder="1" applyAlignment="1">
      <alignment vertical="center"/>
    </xf>
    <xf numFmtId="166" fontId="16" fillId="5" borderId="95" xfId="0" applyNumberFormat="1" applyFont="1" applyFill="1" applyBorder="1" applyAlignment="1">
      <alignment vertical="center"/>
    </xf>
    <xf numFmtId="166" fontId="19" fillId="5" borderId="0" xfId="1" applyNumberFormat="1" applyFont="1" applyFill="1" applyBorder="1" applyAlignment="1">
      <alignment vertical="center"/>
    </xf>
    <xf numFmtId="166" fontId="19" fillId="0" borderId="80" xfId="0" applyNumberFormat="1" applyFont="1" applyBorder="1" applyAlignment="1">
      <alignment vertical="center"/>
    </xf>
    <xf numFmtId="166" fontId="19" fillId="0" borderId="55" xfId="0" applyNumberFormat="1" applyFont="1" applyBorder="1" applyAlignment="1">
      <alignment vertical="center"/>
    </xf>
    <xf numFmtId="166" fontId="19" fillId="0" borderId="55" xfId="1" applyNumberFormat="1" applyFont="1" applyFill="1" applyBorder="1" applyAlignment="1">
      <alignment vertical="center"/>
    </xf>
    <xf numFmtId="166" fontId="19" fillId="2" borderId="53" xfId="1" applyNumberFormat="1" applyFont="1" applyFill="1" applyBorder="1" applyAlignment="1">
      <alignment vertical="center"/>
    </xf>
    <xf numFmtId="166" fontId="19" fillId="0" borderId="54" xfId="0" applyNumberFormat="1" applyFont="1" applyBorder="1" applyAlignment="1">
      <alignment vertical="center"/>
    </xf>
    <xf numFmtId="166" fontId="16" fillId="5" borderId="0" xfId="0" applyNumberFormat="1" applyFont="1" applyFill="1"/>
    <xf numFmtId="166" fontId="16" fillId="5" borderId="7" xfId="0" applyNumberFormat="1" applyFont="1" applyFill="1" applyBorder="1"/>
    <xf numFmtId="166" fontId="23" fillId="5" borderId="13" xfId="0" applyNumberFormat="1" applyFont="1" applyFill="1" applyBorder="1"/>
    <xf numFmtId="166" fontId="23" fillId="5" borderId="16" xfId="0" applyNumberFormat="1" applyFont="1" applyFill="1" applyBorder="1"/>
    <xf numFmtId="166" fontId="23" fillId="5" borderId="11" xfId="0" applyNumberFormat="1" applyFont="1" applyFill="1" applyBorder="1"/>
    <xf numFmtId="166" fontId="23" fillId="5" borderId="0" xfId="0" applyNumberFormat="1" applyFont="1" applyFill="1"/>
    <xf numFmtId="166" fontId="23" fillId="5" borderId="15" xfId="0" applyNumberFormat="1" applyFont="1" applyFill="1" applyBorder="1"/>
    <xf numFmtId="166" fontId="23" fillId="5" borderId="36" xfId="0" applyNumberFormat="1" applyFont="1" applyFill="1" applyBorder="1"/>
    <xf numFmtId="166" fontId="19" fillId="5" borderId="0" xfId="0" applyNumberFormat="1" applyFont="1" applyFill="1"/>
    <xf numFmtId="166" fontId="16" fillId="5" borderId="15" xfId="0" applyNumberFormat="1" applyFont="1" applyFill="1" applyBorder="1"/>
    <xf numFmtId="166" fontId="16" fillId="5" borderId="36" xfId="0" applyNumberFormat="1" applyFont="1" applyFill="1" applyBorder="1"/>
    <xf numFmtId="166" fontId="23" fillId="0" borderId="11" xfId="0" applyNumberFormat="1" applyFont="1" applyBorder="1"/>
    <xf numFmtId="166" fontId="19" fillId="5" borderId="31" xfId="0" applyNumberFormat="1" applyFont="1" applyFill="1" applyBorder="1"/>
    <xf numFmtId="166" fontId="19" fillId="5" borderId="15" xfId="0" applyNumberFormat="1" applyFont="1" applyFill="1" applyBorder="1"/>
    <xf numFmtId="166" fontId="19" fillId="5" borderId="36" xfId="0" applyNumberFormat="1" applyFont="1" applyFill="1" applyBorder="1"/>
    <xf numFmtId="166" fontId="19" fillId="5" borderId="33" xfId="0" applyNumberFormat="1" applyFont="1" applyFill="1" applyBorder="1"/>
    <xf numFmtId="166" fontId="19" fillId="5" borderId="34" xfId="0" applyNumberFormat="1" applyFont="1" applyFill="1" applyBorder="1"/>
    <xf numFmtId="166" fontId="16" fillId="4" borderId="38" xfId="0" applyNumberFormat="1" applyFont="1" applyFill="1" applyBorder="1"/>
    <xf numFmtId="166" fontId="3" fillId="2" borderId="13" xfId="0" applyNumberFormat="1" applyFont="1" applyFill="1" applyBorder="1"/>
    <xf numFmtId="166" fontId="3" fillId="2" borderId="16" xfId="0" applyNumberFormat="1" applyFont="1" applyFill="1" applyBorder="1"/>
    <xf numFmtId="166" fontId="19" fillId="5" borderId="27" xfId="0" applyNumberFormat="1" applyFont="1" applyFill="1" applyBorder="1"/>
    <xf numFmtId="166" fontId="21" fillId="0" borderId="0" xfId="0" applyNumberFormat="1" applyFont="1"/>
    <xf numFmtId="166" fontId="17" fillId="4" borderId="27" xfId="0" applyNumberFormat="1" applyFont="1" applyFill="1" applyBorder="1" applyAlignment="1">
      <alignment horizontal="center"/>
    </xf>
    <xf numFmtId="166" fontId="16" fillId="2" borderId="10" xfId="0" applyNumberFormat="1" applyFont="1" applyFill="1" applyBorder="1"/>
    <xf numFmtId="166" fontId="19" fillId="2" borderId="10" xfId="0" applyNumberFormat="1" applyFont="1" applyFill="1" applyBorder="1"/>
    <xf numFmtId="166" fontId="19" fillId="2" borderId="18" xfId="0" applyNumberFormat="1" applyFont="1" applyFill="1" applyBorder="1"/>
    <xf numFmtId="166" fontId="16" fillId="2" borderId="0" xfId="0" applyNumberFormat="1" applyFont="1" applyFill="1" applyAlignment="1">
      <alignment horizontal="center" vertical="center"/>
    </xf>
    <xf numFmtId="166" fontId="17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"/>
    </xf>
    <xf numFmtId="166" fontId="17" fillId="4" borderId="10" xfId="0" applyNumberFormat="1" applyFont="1" applyFill="1" applyBorder="1" applyAlignment="1">
      <alignment horizontal="center" vertical="center"/>
    </xf>
    <xf numFmtId="166" fontId="17" fillId="4" borderId="27" xfId="0" applyNumberFormat="1" applyFont="1" applyFill="1" applyBorder="1"/>
    <xf numFmtId="166" fontId="21" fillId="2" borderId="18" xfId="0" applyNumberFormat="1" applyFont="1" applyFill="1" applyBorder="1"/>
    <xf numFmtId="166" fontId="20" fillId="2" borderId="10" xfId="0" applyNumberFormat="1" applyFont="1" applyFill="1" applyBorder="1"/>
    <xf numFmtId="166" fontId="20" fillId="2" borderId="11" xfId="0" applyNumberFormat="1" applyFont="1" applyFill="1" applyBorder="1"/>
    <xf numFmtId="166" fontId="19" fillId="2" borderId="103" xfId="0" applyNumberFormat="1" applyFont="1" applyFill="1" applyBorder="1"/>
    <xf numFmtId="166" fontId="19" fillId="2" borderId="23" xfId="0" applyNumberFormat="1" applyFont="1" applyFill="1" applyBorder="1"/>
    <xf numFmtId="164" fontId="21" fillId="2" borderId="10" xfId="0" applyNumberFormat="1" applyFont="1" applyFill="1" applyBorder="1"/>
    <xf numFmtId="49" fontId="17" fillId="2" borderId="11" xfId="0" applyNumberFormat="1" applyFont="1" applyFill="1" applyBorder="1"/>
    <xf numFmtId="164" fontId="19" fillId="2" borderId="27" xfId="0" applyNumberFormat="1" applyFont="1" applyFill="1" applyBorder="1"/>
    <xf numFmtId="166" fontId="23" fillId="5" borderId="10" xfId="0" applyNumberFormat="1" applyFont="1" applyFill="1" applyBorder="1"/>
    <xf numFmtId="49" fontId="19" fillId="5" borderId="11" xfId="0" applyNumberFormat="1" applyFont="1" applyFill="1" applyBorder="1" applyAlignment="1">
      <alignment vertical="center"/>
    </xf>
    <xf numFmtId="9" fontId="23" fillId="5" borderId="0" xfId="0" applyNumberFormat="1" applyFont="1" applyFill="1" applyAlignment="1">
      <alignment horizontal="right" vertical="center"/>
    </xf>
    <xf numFmtId="0" fontId="19" fillId="5" borderId="0" xfId="0" applyFont="1" applyFill="1"/>
    <xf numFmtId="166" fontId="1" fillId="2" borderId="0" xfId="0" applyNumberFormat="1" applyFont="1" applyFill="1" applyAlignment="1">
      <alignment horizontal="center" vertical="center"/>
    </xf>
    <xf numFmtId="166" fontId="0" fillId="0" borderId="0" xfId="0" applyNumberFormat="1"/>
    <xf numFmtId="166" fontId="1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horizontal="center"/>
    </xf>
    <xf numFmtId="166" fontId="6" fillId="0" borderId="0" xfId="0" applyNumberFormat="1" applyFont="1"/>
    <xf numFmtId="166" fontId="1" fillId="2" borderId="0" xfId="0" applyNumberFormat="1" applyFont="1" applyFill="1" applyAlignment="1">
      <alignment horizontal="center"/>
    </xf>
    <xf numFmtId="166" fontId="13" fillId="2" borderId="20" xfId="0" applyNumberFormat="1" applyFont="1" applyFill="1" applyBorder="1" applyAlignment="1">
      <alignment horizontal="center"/>
    </xf>
    <xf numFmtId="166" fontId="7" fillId="4" borderId="21" xfId="0" applyNumberFormat="1" applyFont="1" applyFill="1" applyBorder="1" applyAlignment="1">
      <alignment horizontal="center" vertical="center" wrapText="1"/>
    </xf>
    <xf numFmtId="166" fontId="7" fillId="4" borderId="17" xfId="0" applyNumberFormat="1" applyFont="1" applyFill="1" applyBorder="1" applyAlignment="1">
      <alignment horizontal="center"/>
    </xf>
    <xf numFmtId="166" fontId="16" fillId="3" borderId="20" xfId="2" applyNumberFormat="1" applyFont="1" applyFill="1" applyBorder="1" applyAlignment="1"/>
    <xf numFmtId="2" fontId="16" fillId="3" borderId="20" xfId="2" applyNumberFormat="1" applyFont="1" applyFill="1" applyBorder="1" applyAlignment="1"/>
    <xf numFmtId="2" fontId="16" fillId="3" borderId="102" xfId="2" applyNumberFormat="1" applyFont="1" applyFill="1" applyBorder="1" applyAlignment="1"/>
    <xf numFmtId="166" fontId="7" fillId="4" borderId="24" xfId="0" applyNumberFormat="1" applyFont="1" applyFill="1" applyBorder="1" applyAlignment="1">
      <alignment horizontal="center"/>
    </xf>
    <xf numFmtId="166" fontId="21" fillId="6" borderId="23" xfId="0" applyNumberFormat="1" applyFont="1" applyFill="1" applyBorder="1"/>
    <xf numFmtId="166" fontId="21" fillId="2" borderId="24" xfId="0" applyNumberFormat="1" applyFont="1" applyFill="1" applyBorder="1"/>
    <xf numFmtId="166" fontId="21" fillId="2" borderId="103" xfId="0" applyNumberFormat="1" applyFont="1" applyFill="1" applyBorder="1"/>
    <xf numFmtId="166" fontId="23" fillId="6" borderId="23" xfId="0" applyNumberFormat="1" applyFont="1" applyFill="1" applyBorder="1"/>
    <xf numFmtId="166" fontId="16" fillId="3" borderId="102" xfId="2" applyNumberFormat="1" applyFont="1" applyFill="1" applyBorder="1" applyAlignment="1"/>
    <xf numFmtId="166" fontId="19" fillId="0" borderId="24" xfId="0" applyNumberFormat="1" applyFont="1" applyBorder="1"/>
    <xf numFmtId="166" fontId="19" fillId="3" borderId="102" xfId="0" applyNumberFormat="1" applyFont="1" applyFill="1" applyBorder="1"/>
    <xf numFmtId="166" fontId="17" fillId="3" borderId="18" xfId="0" applyNumberFormat="1" applyFont="1" applyFill="1" applyBorder="1"/>
    <xf numFmtId="14" fontId="17" fillId="4" borderId="11" xfId="0" applyNumberFormat="1" applyFont="1" applyFill="1" applyBorder="1"/>
    <xf numFmtId="169" fontId="23" fillId="2" borderId="26" xfId="0" applyNumberFormat="1" applyFont="1" applyFill="1" applyBorder="1"/>
    <xf numFmtId="166" fontId="23" fillId="2" borderId="103" xfId="0" applyNumberFormat="1" applyFont="1" applyFill="1" applyBorder="1"/>
    <xf numFmtId="169" fontId="17" fillId="6" borderId="22" xfId="0" applyNumberFormat="1" applyFont="1" applyFill="1" applyBorder="1" applyAlignment="1">
      <alignment wrapText="1"/>
    </xf>
    <xf numFmtId="166" fontId="17" fillId="6" borderId="23" xfId="0" applyNumberFormat="1" applyFont="1" applyFill="1" applyBorder="1" applyAlignment="1">
      <alignment wrapText="1"/>
    </xf>
    <xf numFmtId="166" fontId="19" fillId="0" borderId="103" xfId="0" applyNumberFormat="1" applyFont="1" applyBorder="1"/>
    <xf numFmtId="169" fontId="19" fillId="6" borderId="22" xfId="0" applyNumberFormat="1" applyFont="1" applyFill="1" applyBorder="1"/>
    <xf numFmtId="166" fontId="19" fillId="6" borderId="23" xfId="0" applyNumberFormat="1" applyFont="1" applyFill="1" applyBorder="1"/>
    <xf numFmtId="169" fontId="19" fillId="5" borderId="26" xfId="0" applyNumberFormat="1" applyFont="1" applyFill="1" applyBorder="1"/>
    <xf numFmtId="166" fontId="19" fillId="5" borderId="103" xfId="0" applyNumberFormat="1" applyFont="1" applyFill="1" applyBorder="1"/>
    <xf numFmtId="49" fontId="21" fillId="2" borderId="27" xfId="0" applyNumberFormat="1" applyFont="1" applyFill="1" applyBorder="1"/>
    <xf numFmtId="49" fontId="23" fillId="2" borderId="27" xfId="0" applyNumberFormat="1" applyFont="1" applyFill="1" applyBorder="1"/>
    <xf numFmtId="49" fontId="17" fillId="6" borderId="10" xfId="0" applyNumberFormat="1" applyFont="1" applyFill="1" applyBorder="1" applyAlignment="1">
      <alignment vertical="top" wrapText="1"/>
    </xf>
    <xf numFmtId="0" fontId="19" fillId="6" borderId="10" xfId="0" applyFont="1" applyFill="1" applyBorder="1"/>
    <xf numFmtId="0" fontId="19" fillId="0" borderId="27" xfId="0" applyFont="1" applyBorder="1"/>
    <xf numFmtId="166" fontId="3" fillId="2" borderId="10" xfId="0" applyNumberFormat="1" applyFont="1" applyFill="1" applyBorder="1"/>
    <xf numFmtId="2" fontId="19" fillId="0" borderId="0" xfId="0" applyNumberFormat="1" applyFont="1"/>
    <xf numFmtId="166" fontId="30" fillId="5" borderId="13" xfId="0" applyNumberFormat="1" applyFont="1" applyFill="1" applyBorder="1"/>
    <xf numFmtId="166" fontId="30" fillId="5" borderId="11" xfId="0" applyNumberFormat="1" applyFont="1" applyFill="1" applyBorder="1"/>
    <xf numFmtId="166" fontId="30" fillId="5" borderId="15" xfId="0" applyNumberFormat="1" applyFont="1" applyFill="1" applyBorder="1"/>
    <xf numFmtId="166" fontId="31" fillId="5" borderId="11" xfId="0" applyNumberFormat="1" applyFont="1" applyFill="1" applyBorder="1"/>
    <xf numFmtId="166" fontId="13" fillId="5" borderId="15" xfId="0" applyNumberFormat="1" applyFont="1" applyFill="1" applyBorder="1"/>
    <xf numFmtId="166" fontId="31" fillId="5" borderId="14" xfId="0" applyNumberFormat="1" applyFont="1" applyFill="1" applyBorder="1"/>
    <xf numFmtId="166" fontId="31" fillId="5" borderId="15" xfId="0" applyNumberFormat="1" applyFont="1" applyFill="1" applyBorder="1"/>
    <xf numFmtId="166" fontId="31" fillId="5" borderId="33" xfId="0" applyNumberFormat="1" applyFont="1" applyFill="1" applyBorder="1"/>
    <xf numFmtId="165" fontId="16" fillId="5" borderId="66" xfId="0" applyNumberFormat="1" applyFont="1" applyFill="1" applyBorder="1" applyAlignment="1">
      <alignment vertical="center"/>
    </xf>
    <xf numFmtId="166" fontId="17" fillId="4" borderId="105" xfId="0" applyNumberFormat="1" applyFont="1" applyFill="1" applyBorder="1" applyAlignment="1">
      <alignment vertical="center"/>
    </xf>
    <xf numFmtId="166" fontId="17" fillId="4" borderId="106" xfId="0" applyNumberFormat="1" applyFont="1" applyFill="1" applyBorder="1" applyAlignment="1">
      <alignment vertical="center"/>
    </xf>
    <xf numFmtId="9" fontId="21" fillId="4" borderId="72" xfId="2" applyFont="1" applyFill="1" applyBorder="1" applyAlignment="1">
      <alignment horizontal="right" vertical="center"/>
    </xf>
    <xf numFmtId="169" fontId="20" fillId="0" borderId="0" xfId="0" applyNumberFormat="1" applyFont="1"/>
    <xf numFmtId="169" fontId="20" fillId="2" borderId="10" xfId="0" applyNumberFormat="1" applyFont="1" applyFill="1" applyBorder="1"/>
    <xf numFmtId="169" fontId="20" fillId="0" borderId="11" xfId="0" applyNumberFormat="1" applyFont="1" applyBorder="1"/>
    <xf numFmtId="169" fontId="20" fillId="2" borderId="11" xfId="0" applyNumberFormat="1" applyFont="1" applyFill="1" applyBorder="1"/>
    <xf numFmtId="165" fontId="16" fillId="2" borderId="33" xfId="0" applyNumberFormat="1" applyFont="1" applyFill="1" applyBorder="1" applyAlignment="1">
      <alignment vertical="center"/>
    </xf>
    <xf numFmtId="165" fontId="16" fillId="2" borderId="89" xfId="0" applyNumberFormat="1" applyFont="1" applyFill="1" applyBorder="1" applyAlignment="1">
      <alignment vertical="center"/>
    </xf>
    <xf numFmtId="166" fontId="17" fillId="0" borderId="108" xfId="0" applyNumberFormat="1" applyFont="1" applyBorder="1" applyAlignment="1">
      <alignment horizontal="center" vertical="center"/>
    </xf>
    <xf numFmtId="9" fontId="17" fillId="0" borderId="109" xfId="2" applyFont="1" applyFill="1" applyBorder="1" applyAlignment="1">
      <alignment horizontal="center" vertical="center"/>
    </xf>
    <xf numFmtId="9" fontId="16" fillId="2" borderId="110" xfId="2" applyFont="1" applyFill="1" applyBorder="1" applyAlignment="1">
      <alignment vertical="center"/>
    </xf>
    <xf numFmtId="9" fontId="23" fillId="2" borderId="110" xfId="2" applyFont="1" applyFill="1" applyBorder="1" applyAlignment="1">
      <alignment horizontal="right" vertical="center"/>
    </xf>
    <xf numFmtId="166" fontId="21" fillId="5" borderId="0" xfId="0" applyNumberFormat="1" applyFont="1" applyFill="1"/>
    <xf numFmtId="166" fontId="22" fillId="5" borderId="0" xfId="0" applyNumberFormat="1" applyFont="1" applyFill="1" applyAlignment="1">
      <alignment horizontal="center"/>
    </xf>
    <xf numFmtId="166" fontId="19" fillId="5" borderId="10" xfId="0" applyNumberFormat="1" applyFont="1" applyFill="1" applyBorder="1"/>
    <xf numFmtId="166" fontId="16" fillId="5" borderId="10" xfId="0" applyNumberFormat="1" applyFont="1" applyFill="1" applyBorder="1"/>
    <xf numFmtId="166" fontId="19" fillId="5" borderId="18" xfId="0" applyNumberFormat="1" applyFont="1" applyFill="1" applyBorder="1"/>
    <xf numFmtId="49" fontId="17" fillId="8" borderId="19" xfId="0" applyNumberFormat="1" applyFont="1" applyFill="1" applyBorder="1"/>
    <xf numFmtId="166" fontId="16" fillId="8" borderId="18" xfId="0" applyNumberFormat="1" applyFont="1" applyFill="1" applyBorder="1"/>
    <xf numFmtId="49" fontId="17" fillId="8" borderId="21" xfId="0" applyNumberFormat="1" applyFont="1" applyFill="1" applyBorder="1"/>
    <xf numFmtId="166" fontId="16" fillId="8" borderId="10" xfId="0" applyNumberFormat="1" applyFont="1" applyFill="1" applyBorder="1"/>
    <xf numFmtId="49" fontId="17" fillId="8" borderId="18" xfId="0" applyNumberFormat="1" applyFont="1" applyFill="1" applyBorder="1"/>
    <xf numFmtId="49" fontId="17" fillId="8" borderId="19" xfId="0" applyNumberFormat="1" applyFont="1" applyFill="1" applyBorder="1" applyAlignment="1">
      <alignment wrapText="1"/>
    </xf>
    <xf numFmtId="9" fontId="23" fillId="0" borderId="65" xfId="2" applyFont="1" applyFill="1" applyBorder="1" applyAlignment="1">
      <alignment horizontal="right" vertical="center"/>
    </xf>
    <xf numFmtId="15" fontId="17" fillId="5" borderId="0" xfId="0" applyNumberFormat="1" applyFont="1" applyFill="1" applyAlignment="1">
      <alignment vertical="center"/>
    </xf>
    <xf numFmtId="166" fontId="19" fillId="0" borderId="111" xfId="0" applyNumberFormat="1" applyFont="1" applyBorder="1"/>
    <xf numFmtId="166" fontId="16" fillId="2" borderId="112" xfId="0" applyNumberFormat="1" applyFont="1" applyFill="1" applyBorder="1" applyAlignment="1">
      <alignment vertical="center"/>
    </xf>
    <xf numFmtId="165" fontId="16" fillId="2" borderId="113" xfId="0" applyNumberFormat="1" applyFont="1" applyFill="1" applyBorder="1" applyAlignment="1">
      <alignment vertical="center"/>
    </xf>
    <xf numFmtId="166" fontId="17" fillId="0" borderId="114" xfId="0" applyNumberFormat="1" applyFont="1" applyBorder="1" applyAlignment="1">
      <alignment horizontal="center" vertical="center"/>
    </xf>
    <xf numFmtId="166" fontId="17" fillId="0" borderId="115" xfId="0" applyNumberFormat="1" applyFont="1" applyBorder="1" applyAlignment="1">
      <alignment horizontal="center" vertical="center"/>
    </xf>
    <xf numFmtId="9" fontId="21" fillId="4" borderId="116" xfId="0" applyNumberFormat="1" applyFont="1" applyFill="1" applyBorder="1" applyAlignment="1">
      <alignment horizontal="right" vertical="center"/>
    </xf>
    <xf numFmtId="9" fontId="23" fillId="2" borderId="58" xfId="0" applyNumberFormat="1" applyFont="1" applyFill="1" applyBorder="1" applyAlignment="1">
      <alignment horizontal="right" vertical="center"/>
    </xf>
    <xf numFmtId="166" fontId="16" fillId="2" borderId="89" xfId="0" applyNumberFormat="1" applyFont="1" applyFill="1" applyBorder="1" applyAlignment="1">
      <alignment vertical="center"/>
    </xf>
    <xf numFmtId="9" fontId="16" fillId="2" borderId="83" xfId="0" applyNumberFormat="1" applyFont="1" applyFill="1" applyBorder="1" applyAlignment="1">
      <alignment vertical="center"/>
    </xf>
    <xf numFmtId="166" fontId="17" fillId="4" borderId="48" xfId="0" applyNumberFormat="1" applyFont="1" applyFill="1" applyBorder="1" applyAlignment="1">
      <alignment vertical="center"/>
    </xf>
    <xf numFmtId="166" fontId="16" fillId="2" borderId="58" xfId="0" applyNumberFormat="1" applyFont="1" applyFill="1" applyBorder="1" applyAlignment="1">
      <alignment vertical="center"/>
    </xf>
    <xf numFmtId="165" fontId="16" fillId="2" borderId="83" xfId="0" applyNumberFormat="1" applyFont="1" applyFill="1" applyBorder="1" applyAlignment="1">
      <alignment vertical="center"/>
    </xf>
    <xf numFmtId="9" fontId="23" fillId="2" borderId="58" xfId="2" applyFont="1" applyFill="1" applyBorder="1" applyAlignment="1">
      <alignment horizontal="right" vertical="center"/>
    </xf>
    <xf numFmtId="9" fontId="23" fillId="2" borderId="117" xfId="2" applyFont="1" applyFill="1" applyBorder="1" applyAlignment="1">
      <alignment horizontal="right" vertical="center"/>
    </xf>
    <xf numFmtId="9" fontId="23" fillId="5" borderId="58" xfId="2" applyFont="1" applyFill="1" applyBorder="1" applyAlignment="1">
      <alignment horizontal="right" vertical="center"/>
    </xf>
    <xf numFmtId="166" fontId="16" fillId="2" borderId="83" xfId="0" applyNumberFormat="1" applyFont="1" applyFill="1" applyBorder="1" applyAlignment="1">
      <alignment vertical="center"/>
    </xf>
    <xf numFmtId="9" fontId="16" fillId="5" borderId="44" xfId="0" applyNumberFormat="1" applyFont="1" applyFill="1" applyBorder="1" applyAlignment="1">
      <alignment vertical="center"/>
    </xf>
    <xf numFmtId="9" fontId="23" fillId="5" borderId="58" xfId="0" applyNumberFormat="1" applyFont="1" applyFill="1" applyBorder="1" applyAlignment="1">
      <alignment horizontal="right" vertical="center"/>
    </xf>
    <xf numFmtId="166" fontId="17" fillId="4" borderId="58" xfId="0" applyNumberFormat="1" applyFont="1" applyFill="1" applyBorder="1" applyAlignment="1">
      <alignment vertical="center"/>
    </xf>
    <xf numFmtId="9" fontId="17" fillId="0" borderId="45" xfId="2" applyFont="1" applyFill="1" applyBorder="1" applyAlignment="1">
      <alignment horizontal="center" vertical="center"/>
    </xf>
    <xf numFmtId="9" fontId="16" fillId="2" borderId="51" xfId="2" applyFont="1" applyFill="1" applyBorder="1" applyAlignment="1">
      <alignment vertical="center"/>
    </xf>
    <xf numFmtId="9" fontId="23" fillId="2" borderId="51" xfId="2" applyFont="1" applyFill="1" applyBorder="1" applyAlignment="1">
      <alignment horizontal="right" vertical="center"/>
    </xf>
    <xf numFmtId="9" fontId="23" fillId="2" borderId="60" xfId="2" applyFont="1" applyFill="1" applyBorder="1" applyAlignment="1">
      <alignment horizontal="right" vertical="center"/>
    </xf>
    <xf numFmtId="9" fontId="19" fillId="2" borderId="49" xfId="2" applyFont="1" applyFill="1" applyBorder="1" applyAlignment="1">
      <alignment vertical="center"/>
    </xf>
    <xf numFmtId="9" fontId="19" fillId="2" borderId="55" xfId="2" applyFont="1" applyFill="1" applyBorder="1" applyAlignment="1">
      <alignment vertical="center"/>
    </xf>
    <xf numFmtId="9" fontId="16" fillId="2" borderId="81" xfId="2" applyFont="1" applyFill="1" applyBorder="1" applyAlignment="1">
      <alignment vertical="center"/>
    </xf>
    <xf numFmtId="9" fontId="16" fillId="4" borderId="98" xfId="2" applyFont="1" applyFill="1" applyBorder="1" applyAlignment="1">
      <alignment horizontal="right" vertical="center"/>
    </xf>
    <xf numFmtId="9" fontId="16" fillId="2" borderId="49" xfId="2" applyFont="1" applyFill="1" applyBorder="1" applyAlignment="1">
      <alignment vertical="center"/>
    </xf>
    <xf numFmtId="9" fontId="23" fillId="2" borderId="55" xfId="2" applyFont="1" applyFill="1" applyBorder="1" applyAlignment="1">
      <alignment horizontal="right" vertical="center"/>
    </xf>
    <xf numFmtId="9" fontId="23" fillId="2" borderId="81" xfId="2" applyFont="1" applyFill="1" applyBorder="1" applyAlignment="1">
      <alignment horizontal="right" vertical="center"/>
    </xf>
    <xf numFmtId="9" fontId="23" fillId="4" borderId="98" xfId="2" applyFont="1" applyFill="1" applyBorder="1" applyAlignment="1">
      <alignment horizontal="right" vertical="center"/>
    </xf>
    <xf numFmtId="166" fontId="16" fillId="2" borderId="98" xfId="0" applyNumberFormat="1" applyFont="1" applyFill="1" applyBorder="1" applyAlignment="1">
      <alignment vertical="center"/>
    </xf>
    <xf numFmtId="165" fontId="16" fillId="2" borderId="49" xfId="0" applyNumberFormat="1" applyFont="1" applyFill="1" applyBorder="1" applyAlignment="1">
      <alignment vertical="center"/>
    </xf>
    <xf numFmtId="49" fontId="23" fillId="2" borderId="55" xfId="0" applyNumberFormat="1" applyFont="1" applyFill="1" applyBorder="1" applyAlignment="1">
      <alignment horizontal="right" vertical="center"/>
    </xf>
    <xf numFmtId="9" fontId="23" fillId="4" borderId="118" xfId="0" applyNumberFormat="1" applyFont="1" applyFill="1" applyBorder="1" applyAlignment="1">
      <alignment horizontal="right" vertical="center"/>
    </xf>
    <xf numFmtId="15" fontId="27" fillId="0" borderId="10" xfId="0" applyNumberFormat="1" applyFont="1" applyBorder="1" applyAlignment="1">
      <alignment horizontal="center" vertical="center"/>
    </xf>
    <xf numFmtId="165" fontId="16" fillId="3" borderId="11" xfId="0" applyNumberFormat="1" applyFont="1" applyFill="1" applyBorder="1" applyAlignment="1">
      <alignment vertical="center"/>
    </xf>
    <xf numFmtId="165" fontId="19" fillId="3" borderId="11" xfId="0" applyNumberFormat="1" applyFont="1" applyFill="1" applyBorder="1" applyAlignment="1">
      <alignment vertical="center"/>
    </xf>
    <xf numFmtId="9" fontId="19" fillId="3" borderId="11" xfId="0" applyNumberFormat="1" applyFont="1" applyFill="1" applyBorder="1" applyAlignment="1">
      <alignment vertical="center"/>
    </xf>
    <xf numFmtId="9" fontId="16" fillId="3" borderId="11" xfId="0" applyNumberFormat="1" applyFont="1" applyFill="1" applyBorder="1" applyAlignment="1">
      <alignment vertical="center"/>
    </xf>
    <xf numFmtId="9" fontId="23" fillId="3" borderId="11" xfId="0" applyNumberFormat="1" applyFont="1" applyFill="1" applyBorder="1" applyAlignment="1">
      <alignment horizontal="right" vertical="center"/>
    </xf>
    <xf numFmtId="166" fontId="17" fillId="4" borderId="36" xfId="0" applyNumberFormat="1" applyFont="1" applyFill="1" applyBorder="1" applyAlignment="1">
      <alignment horizontal="center" vertical="center"/>
    </xf>
    <xf numFmtId="166" fontId="16" fillId="2" borderId="36" xfId="0" applyNumberFormat="1" applyFont="1" applyFill="1" applyBorder="1" applyAlignment="1">
      <alignment vertical="center"/>
    </xf>
    <xf numFmtId="166" fontId="19" fillId="5" borderId="73" xfId="0" applyNumberFormat="1" applyFont="1" applyFill="1" applyBorder="1" applyAlignment="1">
      <alignment vertical="center"/>
    </xf>
    <xf numFmtId="166" fontId="16" fillId="5" borderId="84" xfId="0" applyNumberFormat="1" applyFont="1" applyFill="1" applyBorder="1" applyAlignment="1">
      <alignment vertical="center"/>
    </xf>
    <xf numFmtId="166" fontId="16" fillId="5" borderId="73" xfId="0" applyNumberFormat="1" applyFont="1" applyFill="1" applyBorder="1" applyAlignment="1">
      <alignment vertical="center"/>
    </xf>
    <xf numFmtId="166" fontId="16" fillId="5" borderId="82" xfId="0" applyNumberFormat="1" applyFont="1" applyFill="1" applyBorder="1" applyAlignment="1">
      <alignment vertical="center"/>
    </xf>
    <xf numFmtId="166" fontId="16" fillId="5" borderId="83" xfId="0" applyNumberFormat="1" applyFont="1" applyFill="1" applyBorder="1" applyAlignment="1">
      <alignment vertical="center"/>
    </xf>
    <xf numFmtId="166" fontId="17" fillId="4" borderId="121" xfId="0" applyNumberFormat="1" applyFont="1" applyFill="1" applyBorder="1" applyAlignment="1">
      <alignment vertical="center"/>
    </xf>
    <xf numFmtId="164" fontId="26" fillId="3" borderId="10" xfId="0" applyNumberFormat="1" applyFont="1" applyFill="1" applyBorder="1" applyAlignment="1">
      <alignment horizontal="center" vertical="center" wrapText="1"/>
    </xf>
    <xf numFmtId="165" fontId="27" fillId="3" borderId="11" xfId="0" applyNumberFormat="1" applyFont="1" applyFill="1" applyBorder="1" applyAlignment="1">
      <alignment horizontal="center" vertical="center"/>
    </xf>
    <xf numFmtId="15" fontId="27" fillId="3" borderId="11" xfId="0" applyNumberFormat="1" applyFont="1" applyFill="1" applyBorder="1" applyAlignment="1">
      <alignment horizontal="center" vertical="center"/>
    </xf>
    <xf numFmtId="15" fontId="27" fillId="0" borderId="11" xfId="0" applyNumberFormat="1" applyFont="1" applyBorder="1" applyAlignment="1">
      <alignment horizontal="center" vertical="center"/>
    </xf>
    <xf numFmtId="9" fontId="23" fillId="5" borderId="11" xfId="0" applyNumberFormat="1" applyFont="1" applyFill="1" applyBorder="1" applyAlignment="1">
      <alignment horizontal="right" vertical="center"/>
    </xf>
    <xf numFmtId="9" fontId="16" fillId="3" borderId="27" xfId="0" applyNumberFormat="1" applyFont="1" applyFill="1" applyBorder="1" applyAlignment="1">
      <alignment vertical="center"/>
    </xf>
    <xf numFmtId="166" fontId="17" fillId="4" borderId="84" xfId="0" applyNumberFormat="1" applyFont="1" applyFill="1" applyBorder="1" applyAlignment="1">
      <alignment horizontal="center" vertical="center"/>
    </xf>
    <xf numFmtId="171" fontId="16" fillId="2" borderId="68" xfId="0" applyNumberFormat="1" applyFont="1" applyFill="1" applyBorder="1" applyAlignment="1">
      <alignment vertical="center"/>
    </xf>
    <xf numFmtId="166" fontId="35" fillId="2" borderId="11" xfId="0" applyNumberFormat="1" applyFont="1" applyFill="1" applyBorder="1"/>
    <xf numFmtId="2" fontId="19" fillId="2" borderId="53" xfId="0" applyNumberFormat="1" applyFont="1" applyFill="1" applyBorder="1" applyAlignment="1">
      <alignment vertical="center"/>
    </xf>
    <xf numFmtId="2" fontId="19" fillId="5" borderId="47" xfId="0" applyNumberFormat="1" applyFont="1" applyFill="1" applyBorder="1" applyAlignment="1">
      <alignment vertical="center"/>
    </xf>
    <xf numFmtId="2" fontId="19" fillId="5" borderId="48" xfId="0" applyNumberFormat="1" applyFont="1" applyFill="1" applyBorder="1" applyAlignment="1">
      <alignment vertical="center"/>
    </xf>
    <xf numFmtId="2" fontId="19" fillId="5" borderId="53" xfId="0" applyNumberFormat="1" applyFont="1" applyFill="1" applyBorder="1" applyAlignment="1">
      <alignment vertical="center"/>
    </xf>
    <xf numFmtId="2" fontId="19" fillId="5" borderId="54" xfId="0" applyNumberFormat="1" applyFont="1" applyFill="1" applyBorder="1" applyAlignment="1">
      <alignment vertical="center"/>
    </xf>
    <xf numFmtId="2" fontId="16" fillId="5" borderId="61" xfId="0" applyNumberFormat="1" applyFont="1" applyFill="1" applyBorder="1" applyAlignment="1">
      <alignment vertical="center"/>
    </xf>
    <xf numFmtId="2" fontId="16" fillId="5" borderId="62" xfId="0" applyNumberFormat="1" applyFont="1" applyFill="1" applyBorder="1" applyAlignment="1">
      <alignment vertical="center"/>
    </xf>
    <xf numFmtId="2" fontId="16" fillId="5" borderId="47" xfId="0" applyNumberFormat="1" applyFont="1" applyFill="1" applyBorder="1" applyAlignment="1">
      <alignment vertical="center"/>
    </xf>
    <xf numFmtId="2" fontId="16" fillId="5" borderId="48" xfId="0" applyNumberFormat="1" applyFont="1" applyFill="1" applyBorder="1" applyAlignment="1">
      <alignment vertical="center"/>
    </xf>
    <xf numFmtId="2" fontId="16" fillId="5" borderId="53" xfId="0" applyNumberFormat="1" applyFont="1" applyFill="1" applyBorder="1" applyAlignment="1">
      <alignment vertical="center"/>
    </xf>
    <xf numFmtId="2" fontId="16" fillId="5" borderId="54" xfId="0" applyNumberFormat="1" applyFont="1" applyFill="1" applyBorder="1" applyAlignment="1">
      <alignment vertical="center"/>
    </xf>
    <xf numFmtId="2" fontId="16" fillId="2" borderId="61" xfId="0" applyNumberFormat="1" applyFont="1" applyFill="1" applyBorder="1" applyAlignment="1">
      <alignment vertical="center"/>
    </xf>
    <xf numFmtId="2" fontId="16" fillId="2" borderId="47" xfId="0" applyNumberFormat="1" applyFont="1" applyFill="1" applyBorder="1" applyAlignment="1">
      <alignment vertical="center"/>
    </xf>
    <xf numFmtId="2" fontId="19" fillId="2" borderId="47" xfId="0" applyNumberFormat="1" applyFont="1" applyFill="1" applyBorder="1" applyAlignment="1">
      <alignment vertical="center"/>
    </xf>
    <xf numFmtId="2" fontId="16" fillId="2" borderId="53" xfId="0" applyNumberFormat="1" applyFont="1" applyFill="1" applyBorder="1" applyAlignment="1">
      <alignment vertical="center"/>
    </xf>
    <xf numFmtId="2" fontId="23" fillId="2" borderId="15" xfId="0" applyNumberFormat="1" applyFont="1" applyFill="1" applyBorder="1"/>
    <xf numFmtId="2" fontId="23" fillId="2" borderId="36" xfId="0" applyNumberFormat="1" applyFont="1" applyFill="1" applyBorder="1"/>
    <xf numFmtId="2" fontId="23" fillId="2" borderId="11" xfId="0" applyNumberFormat="1" applyFont="1" applyFill="1" applyBorder="1"/>
    <xf numFmtId="2" fontId="23" fillId="2" borderId="0" xfId="0" applyNumberFormat="1" applyFont="1" applyFill="1"/>
    <xf numFmtId="2" fontId="19" fillId="2" borderId="11" xfId="0" applyNumberFormat="1" applyFont="1" applyFill="1" applyBorder="1"/>
    <xf numFmtId="2" fontId="19" fillId="2" borderId="0" xfId="0" applyNumberFormat="1" applyFont="1" applyFill="1"/>
    <xf numFmtId="2" fontId="19" fillId="2" borderId="15" xfId="0" applyNumberFormat="1" applyFont="1" applyFill="1" applyBorder="1"/>
    <xf numFmtId="2" fontId="19" fillId="2" borderId="36" xfId="0" applyNumberFormat="1" applyFont="1" applyFill="1" applyBorder="1"/>
    <xf numFmtId="169" fontId="17" fillId="0" borderId="0" xfId="0" applyNumberFormat="1" applyFont="1" applyAlignment="1">
      <alignment horizontal="center"/>
    </xf>
    <xf numFmtId="169" fontId="17" fillId="4" borderId="27" xfId="0" applyNumberFormat="1" applyFont="1" applyFill="1" applyBorder="1" applyAlignment="1">
      <alignment horizontal="center"/>
    </xf>
    <xf numFmtId="166" fontId="17" fillId="8" borderId="18" xfId="0" applyNumberFormat="1" applyFont="1" applyFill="1" applyBorder="1"/>
    <xf numFmtId="166" fontId="17" fillId="8" borderId="10" xfId="0" applyNumberFormat="1" applyFont="1" applyFill="1" applyBorder="1"/>
    <xf numFmtId="166" fontId="21" fillId="2" borderId="11" xfId="0" applyNumberFormat="1" applyFont="1" applyFill="1" applyBorder="1"/>
    <xf numFmtId="169" fontId="21" fillId="2" borderId="10" xfId="0" applyNumberFormat="1" applyFont="1" applyFill="1" applyBorder="1"/>
    <xf numFmtId="166" fontId="21" fillId="2" borderId="10" xfId="0" applyNumberFormat="1" applyFont="1" applyFill="1" applyBorder="1"/>
    <xf numFmtId="166" fontId="21" fillId="2" borderId="21" xfId="0" applyNumberFormat="1" applyFont="1" applyFill="1" applyBorder="1"/>
    <xf numFmtId="169" fontId="21" fillId="2" borderId="11" xfId="0" applyNumberFormat="1" applyFont="1" applyFill="1" applyBorder="1"/>
    <xf numFmtId="166" fontId="21" fillId="2" borderId="17" xfId="0" applyNumberFormat="1" applyFont="1" applyFill="1" applyBorder="1"/>
    <xf numFmtId="166" fontId="17" fillId="2" borderId="10" xfId="0" applyNumberFormat="1" applyFont="1" applyFill="1" applyBorder="1"/>
    <xf numFmtId="169" fontId="21" fillId="0" borderId="27" xfId="0" applyNumberFormat="1" applyFont="1" applyBorder="1"/>
    <xf numFmtId="166" fontId="21" fillId="2" borderId="27" xfId="0" applyNumberFormat="1" applyFont="1" applyFill="1" applyBorder="1"/>
    <xf numFmtId="169" fontId="21" fillId="0" borderId="10" xfId="0" applyNumberFormat="1" applyFont="1" applyBorder="1"/>
    <xf numFmtId="166" fontId="21" fillId="0" borderId="10" xfId="0" applyNumberFormat="1" applyFont="1" applyBorder="1"/>
    <xf numFmtId="169" fontId="21" fillId="2" borderId="27" xfId="0" applyNumberFormat="1" applyFont="1" applyFill="1" applyBorder="1"/>
    <xf numFmtId="169" fontId="21" fillId="2" borderId="18" xfId="0" applyNumberFormat="1" applyFont="1" applyFill="1" applyBorder="1"/>
    <xf numFmtId="168" fontId="21" fillId="0" borderId="20" xfId="0" applyNumberFormat="1" applyFont="1" applyBorder="1"/>
    <xf numFmtId="169" fontId="21" fillId="0" borderId="0" xfId="0" applyNumberFormat="1" applyFont="1"/>
    <xf numFmtId="166" fontId="35" fillId="2" borderId="0" xfId="0" applyNumberFormat="1" applyFont="1" applyFill="1"/>
    <xf numFmtId="166" fontId="1" fillId="4" borderId="33" xfId="0" applyNumberFormat="1" applyFont="1" applyFill="1" applyBorder="1"/>
    <xf numFmtId="166" fontId="1" fillId="4" borderId="34" xfId="0" applyNumberFormat="1" applyFont="1" applyFill="1" applyBorder="1"/>
    <xf numFmtId="166" fontId="35" fillId="2" borderId="15" xfId="0" applyNumberFormat="1" applyFont="1" applyFill="1" applyBorder="1"/>
    <xf numFmtId="166" fontId="35" fillId="2" borderId="36" xfId="0" applyNumberFormat="1" applyFont="1" applyFill="1" applyBorder="1"/>
    <xf numFmtId="166" fontId="1" fillId="2" borderId="15" xfId="0" applyNumberFormat="1" applyFont="1" applyFill="1" applyBorder="1"/>
    <xf numFmtId="166" fontId="1" fillId="2" borderId="36" xfId="0" applyNumberFormat="1" applyFont="1" applyFill="1" applyBorder="1"/>
    <xf numFmtId="166" fontId="1" fillId="4" borderId="36" xfId="0" applyNumberFormat="1" applyFont="1" applyFill="1" applyBorder="1"/>
    <xf numFmtId="166" fontId="35" fillId="2" borderId="24" xfId="0" applyNumberFormat="1" applyFont="1" applyFill="1" applyBorder="1"/>
    <xf numFmtId="166" fontId="1" fillId="4" borderId="101" xfId="0" applyNumberFormat="1" applyFont="1" applyFill="1" applyBorder="1"/>
    <xf numFmtId="166" fontId="1" fillId="3" borderId="38" xfId="0" applyNumberFormat="1" applyFont="1" applyFill="1" applyBorder="1"/>
    <xf numFmtId="166" fontId="1" fillId="3" borderId="39" xfId="0" applyNumberFormat="1" applyFont="1" applyFill="1" applyBorder="1"/>
    <xf numFmtId="169" fontId="35" fillId="2" borderId="15" xfId="0" applyNumberFormat="1" applyFont="1" applyFill="1" applyBorder="1"/>
    <xf numFmtId="169" fontId="35" fillId="2" borderId="36" xfId="0" applyNumberFormat="1" applyFont="1" applyFill="1" applyBorder="1"/>
    <xf numFmtId="169" fontId="35" fillId="2" borderId="11" xfId="0" applyNumberFormat="1" applyFont="1" applyFill="1" applyBorder="1"/>
    <xf numFmtId="169" fontId="35" fillId="2" borderId="0" xfId="0" applyNumberFormat="1" applyFont="1" applyFill="1"/>
    <xf numFmtId="4" fontId="35" fillId="2" borderId="11" xfId="0" applyNumberFormat="1" applyFont="1" applyFill="1" applyBorder="1"/>
    <xf numFmtId="169" fontId="19" fillId="2" borderId="11" xfId="0" applyNumberFormat="1" applyFont="1" applyFill="1" applyBorder="1"/>
    <xf numFmtId="169" fontId="19" fillId="2" borderId="0" xfId="0" applyNumberFormat="1" applyFont="1" applyFill="1"/>
    <xf numFmtId="169" fontId="1" fillId="2" borderId="15" xfId="0" applyNumberFormat="1" applyFont="1" applyFill="1" applyBorder="1"/>
    <xf numFmtId="169" fontId="1" fillId="2" borderId="36" xfId="0" applyNumberFormat="1" applyFont="1" applyFill="1" applyBorder="1"/>
    <xf numFmtId="169" fontId="19" fillId="2" borderId="14" xfId="0" applyNumberFormat="1" applyFont="1" applyFill="1" applyBorder="1"/>
    <xf numFmtId="169" fontId="19" fillId="2" borderId="31" xfId="0" applyNumberFormat="1" applyFont="1" applyFill="1" applyBorder="1"/>
    <xf numFmtId="169" fontId="19" fillId="2" borderId="15" xfId="0" applyNumberFormat="1" applyFont="1" applyFill="1" applyBorder="1"/>
    <xf numFmtId="169" fontId="19" fillId="2" borderId="36" xfId="0" applyNumberFormat="1" applyFont="1" applyFill="1" applyBorder="1"/>
    <xf numFmtId="166" fontId="1" fillId="4" borderId="38" xfId="0" applyNumberFormat="1" applyFont="1" applyFill="1" applyBorder="1"/>
    <xf numFmtId="166" fontId="1" fillId="4" borderId="39" xfId="0" applyNumberFormat="1" applyFont="1" applyFill="1" applyBorder="1"/>
    <xf numFmtId="49" fontId="17" fillId="5" borderId="4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49" fontId="17" fillId="7" borderId="4" xfId="0" applyNumberFormat="1" applyFont="1" applyFill="1" applyBorder="1" applyAlignment="1">
      <alignment horizontal="center" vertical="center"/>
    </xf>
    <xf numFmtId="49" fontId="17" fillId="7" borderId="0" xfId="0" applyNumberFormat="1" applyFont="1" applyFill="1" applyAlignment="1">
      <alignment horizontal="center" vertical="center"/>
    </xf>
    <xf numFmtId="49" fontId="16" fillId="5" borderId="4" xfId="0" applyNumberFormat="1" applyFont="1" applyFill="1" applyBorder="1" applyAlignment="1">
      <alignment horizontal="center" vertical="center"/>
    </xf>
    <xf numFmtId="49" fontId="16" fillId="5" borderId="0" xfId="0" applyNumberFormat="1" applyFont="1" applyFill="1" applyAlignment="1">
      <alignment horizontal="center" vertical="center"/>
    </xf>
    <xf numFmtId="15" fontId="17" fillId="5" borderId="0" xfId="0" applyNumberFormat="1" applyFont="1" applyFill="1" applyAlignment="1">
      <alignment horizontal="center" vertical="center"/>
    </xf>
    <xf numFmtId="15" fontId="17" fillId="7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166" fontId="19" fillId="2" borderId="0" xfId="0" applyNumberFormat="1" applyFont="1" applyFill="1" applyAlignment="1">
      <alignment horizontal="center" vertical="center"/>
    </xf>
    <xf numFmtId="166" fontId="25" fillId="2" borderId="0" xfId="0" applyNumberFormat="1" applyFont="1" applyFill="1" applyAlignment="1">
      <alignment horizontal="center" vertical="center"/>
    </xf>
    <xf numFmtId="164" fontId="19" fillId="5" borderId="4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Alignment="1">
      <alignment horizontal="center" vertical="center"/>
    </xf>
    <xf numFmtId="169" fontId="25" fillId="2" borderId="0" xfId="0" applyNumberFormat="1" applyFont="1" applyFill="1" applyAlignment="1">
      <alignment horizontal="center" vertical="center"/>
    </xf>
    <xf numFmtId="169" fontId="19" fillId="2" borderId="0" xfId="0" applyNumberFormat="1" applyFont="1" applyFill="1" applyAlignment="1">
      <alignment horizontal="center" vertical="center"/>
    </xf>
    <xf numFmtId="9" fontId="19" fillId="2" borderId="0" xfId="0" applyNumberFormat="1" applyFont="1" applyFill="1" applyAlignment="1">
      <alignment horizontal="center" vertical="center"/>
    </xf>
    <xf numFmtId="168" fontId="17" fillId="0" borderId="0" xfId="0" applyNumberFormat="1" applyFont="1" applyAlignment="1">
      <alignment vertical="center"/>
    </xf>
    <xf numFmtId="166" fontId="19" fillId="2" borderId="17" xfId="0" applyNumberFormat="1" applyFont="1" applyFill="1" applyBorder="1" applyAlignment="1">
      <alignment vertical="center"/>
    </xf>
    <xf numFmtId="9" fontId="16" fillId="2" borderId="51" xfId="0" applyNumberFormat="1" applyFont="1" applyFill="1" applyBorder="1" applyAlignment="1">
      <alignment vertical="center"/>
    </xf>
    <xf numFmtId="166" fontId="19" fillId="2" borderId="51" xfId="0" applyNumberFormat="1" applyFont="1" applyFill="1" applyBorder="1" applyAlignment="1">
      <alignment vertical="center"/>
    </xf>
    <xf numFmtId="166" fontId="19" fillId="2" borderId="119" xfId="0" applyNumberFormat="1" applyFont="1" applyFill="1" applyBorder="1" applyAlignment="1">
      <alignment vertical="center"/>
    </xf>
    <xf numFmtId="9" fontId="16" fillId="2" borderId="66" xfId="2" applyFont="1" applyFill="1" applyBorder="1" applyAlignment="1">
      <alignment vertical="center"/>
    </xf>
    <xf numFmtId="9" fontId="16" fillId="5" borderId="68" xfId="2" applyFont="1" applyFill="1" applyBorder="1" applyAlignment="1">
      <alignment vertical="center"/>
    </xf>
    <xf numFmtId="9" fontId="21" fillId="4" borderId="71" xfId="2" applyFont="1" applyFill="1" applyBorder="1" applyAlignment="1">
      <alignment horizontal="right" vertical="center"/>
    </xf>
    <xf numFmtId="9" fontId="16" fillId="2" borderId="68" xfId="2" applyFont="1" applyFill="1" applyBorder="1" applyAlignment="1">
      <alignment vertical="center"/>
    </xf>
    <xf numFmtId="9" fontId="23" fillId="4" borderId="71" xfId="2" applyFont="1" applyFill="1" applyBorder="1" applyAlignment="1">
      <alignment horizontal="right" vertical="center"/>
    </xf>
    <xf numFmtId="166" fontId="19" fillId="2" borderId="80" xfId="0" applyNumberFormat="1" applyFont="1" applyFill="1" applyBorder="1" applyAlignment="1">
      <alignment vertical="center"/>
    </xf>
    <xf numFmtId="166" fontId="19" fillId="0" borderId="50" xfId="0" applyNumberFormat="1" applyFont="1" applyBorder="1"/>
    <xf numFmtId="166" fontId="19" fillId="0" borderId="52" xfId="0" applyNumberFormat="1" applyFont="1" applyBorder="1"/>
    <xf numFmtId="9" fontId="23" fillId="2" borderId="24" xfId="2" applyFont="1" applyFill="1" applyBorder="1" applyAlignment="1">
      <alignment horizontal="right" vertical="center"/>
    </xf>
    <xf numFmtId="9" fontId="19" fillId="2" borderId="24" xfId="2" applyFont="1" applyFill="1" applyBorder="1" applyAlignment="1">
      <alignment vertical="center"/>
    </xf>
    <xf numFmtId="166" fontId="0" fillId="5" borderId="53" xfId="0" applyNumberFormat="1" applyFill="1" applyBorder="1" applyAlignment="1">
      <alignment vertical="center"/>
    </xf>
    <xf numFmtId="166" fontId="19" fillId="2" borderId="95" xfId="0" applyNumberFormat="1" applyFont="1" applyFill="1" applyBorder="1" applyAlignment="1">
      <alignment vertical="center"/>
    </xf>
    <xf numFmtId="166" fontId="19" fillId="2" borderId="124" xfId="0" applyNumberFormat="1" applyFont="1" applyFill="1" applyBorder="1" applyAlignment="1">
      <alignment vertical="center"/>
    </xf>
    <xf numFmtId="166" fontId="19" fillId="2" borderId="96" xfId="0" applyNumberFormat="1" applyFont="1" applyFill="1" applyBorder="1" applyAlignment="1">
      <alignment vertical="center"/>
    </xf>
    <xf numFmtId="166" fontId="19" fillId="2" borderId="93" xfId="0" applyNumberFormat="1" applyFont="1" applyFill="1" applyBorder="1" applyAlignment="1">
      <alignment vertical="center"/>
    </xf>
    <xf numFmtId="166" fontId="16" fillId="2" borderId="52" xfId="0" applyNumberFormat="1" applyFont="1" applyFill="1" applyBorder="1" applyAlignment="1">
      <alignment vertical="center"/>
    </xf>
    <xf numFmtId="165" fontId="16" fillId="3" borderId="24" xfId="0" applyNumberFormat="1" applyFont="1" applyFill="1" applyBorder="1" applyAlignment="1">
      <alignment vertical="center"/>
    </xf>
    <xf numFmtId="165" fontId="19" fillId="3" borderId="24" xfId="0" applyNumberFormat="1" applyFont="1" applyFill="1" applyBorder="1" applyAlignment="1">
      <alignment vertical="center"/>
    </xf>
    <xf numFmtId="173" fontId="0" fillId="0" borderId="0" xfId="0" applyNumberFormat="1"/>
    <xf numFmtId="166" fontId="17" fillId="4" borderId="108" xfId="0" applyNumberFormat="1" applyFont="1" applyFill="1" applyBorder="1" applyAlignment="1">
      <alignment horizontal="center" vertical="center"/>
    </xf>
    <xf numFmtId="166" fontId="17" fillId="4" borderId="52" xfId="0" applyNumberFormat="1" applyFont="1" applyFill="1" applyBorder="1" applyAlignment="1">
      <alignment horizontal="center" vertical="center"/>
    </xf>
    <xf numFmtId="166" fontId="17" fillId="4" borderId="46" xfId="0" applyNumberFormat="1" applyFont="1" applyFill="1" applyBorder="1" applyAlignment="1">
      <alignment horizontal="center" vertical="center"/>
    </xf>
    <xf numFmtId="166" fontId="17" fillId="0" borderId="52" xfId="0" applyNumberFormat="1" applyFont="1" applyBorder="1" applyAlignment="1">
      <alignment horizontal="center" vertical="center"/>
    </xf>
    <xf numFmtId="15" fontId="27" fillId="3" borderId="24" xfId="0" applyNumberFormat="1" applyFont="1" applyFill="1" applyBorder="1" applyAlignment="1">
      <alignment horizontal="center" vertical="center"/>
    </xf>
    <xf numFmtId="15" fontId="27" fillId="0" borderId="24" xfId="0" applyNumberFormat="1" applyFont="1" applyBorder="1" applyAlignment="1">
      <alignment horizontal="center" vertical="center"/>
    </xf>
    <xf numFmtId="165" fontId="27" fillId="3" borderId="24" xfId="0" applyNumberFormat="1" applyFont="1" applyFill="1" applyBorder="1" applyAlignment="1">
      <alignment horizontal="center" vertical="center"/>
    </xf>
    <xf numFmtId="9" fontId="17" fillId="0" borderId="109" xfId="0" applyNumberFormat="1" applyFont="1" applyBorder="1" applyAlignment="1">
      <alignment horizontal="center" vertical="center"/>
    </xf>
    <xf numFmtId="9" fontId="17" fillId="4" borderId="127" xfId="2" applyFont="1" applyFill="1" applyBorder="1" applyAlignment="1">
      <alignment horizontal="center" vertical="center"/>
    </xf>
    <xf numFmtId="9" fontId="17" fillId="0" borderId="45" xfId="0" applyNumberFormat="1" applyFont="1" applyBorder="1" applyAlignment="1">
      <alignment horizontal="center" vertical="center"/>
    </xf>
    <xf numFmtId="9" fontId="23" fillId="2" borderId="51" xfId="0" applyNumberFormat="1" applyFont="1" applyFill="1" applyBorder="1" applyAlignment="1">
      <alignment horizontal="right" vertical="center"/>
    </xf>
    <xf numFmtId="166" fontId="17" fillId="4" borderId="84" xfId="0" applyNumberFormat="1" applyFont="1" applyFill="1" applyBorder="1" applyAlignment="1">
      <alignment vertical="center"/>
    </xf>
    <xf numFmtId="165" fontId="19" fillId="3" borderId="104" xfId="0" applyNumberFormat="1" applyFont="1" applyFill="1" applyBorder="1" applyAlignment="1">
      <alignment vertical="center"/>
    </xf>
    <xf numFmtId="9" fontId="16" fillId="2" borderId="110" xfId="0" applyNumberFormat="1" applyFont="1" applyFill="1" applyBorder="1" applyAlignment="1">
      <alignment vertical="center"/>
    </xf>
    <xf numFmtId="9" fontId="23" fillId="2" borderId="110" xfId="0" applyNumberFormat="1" applyFont="1" applyFill="1" applyBorder="1" applyAlignment="1">
      <alignment horizontal="right" vertical="center"/>
    </xf>
    <xf numFmtId="9" fontId="23" fillId="2" borderId="130" xfId="0" applyNumberFormat="1" applyFont="1" applyFill="1" applyBorder="1" applyAlignment="1">
      <alignment horizontal="right" vertical="center"/>
    </xf>
    <xf numFmtId="9" fontId="19" fillId="3" borderId="27" xfId="0" applyNumberFormat="1" applyFont="1" applyFill="1" applyBorder="1" applyAlignment="1">
      <alignment vertical="center"/>
    </xf>
    <xf numFmtId="9" fontId="23" fillId="2" borderId="130" xfId="2" applyFont="1" applyFill="1" applyBorder="1" applyAlignment="1">
      <alignment horizontal="right" vertical="center"/>
    </xf>
    <xf numFmtId="166" fontId="17" fillId="4" borderId="120" xfId="0" applyNumberFormat="1" applyFont="1" applyFill="1" applyBorder="1" applyAlignment="1">
      <alignment vertical="center"/>
    </xf>
    <xf numFmtId="165" fontId="19" fillId="3" borderId="27" xfId="0" applyNumberFormat="1" applyFont="1" applyFill="1" applyBorder="1" applyAlignment="1">
      <alignment vertical="center"/>
    </xf>
    <xf numFmtId="9" fontId="17" fillId="4" borderId="129" xfId="2" applyFont="1" applyFill="1" applyBorder="1" applyAlignment="1">
      <alignment horizontal="right" vertical="center"/>
    </xf>
    <xf numFmtId="10" fontId="17" fillId="0" borderId="109" xfId="0" applyNumberFormat="1" applyFont="1" applyBorder="1" applyAlignment="1">
      <alignment horizontal="center" vertical="center"/>
    </xf>
    <xf numFmtId="10" fontId="16" fillId="2" borderId="110" xfId="0" applyNumberFormat="1" applyFont="1" applyFill="1" applyBorder="1" applyAlignment="1">
      <alignment vertical="center"/>
    </xf>
    <xf numFmtId="10" fontId="23" fillId="2" borderId="110" xfId="0" applyNumberFormat="1" applyFont="1" applyFill="1" applyBorder="1" applyAlignment="1">
      <alignment horizontal="right" vertical="center"/>
    </xf>
    <xf numFmtId="166" fontId="17" fillId="4" borderId="131" xfId="0" applyNumberFormat="1" applyFont="1" applyFill="1" applyBorder="1" applyAlignment="1">
      <alignment vertical="center"/>
    </xf>
    <xf numFmtId="9" fontId="21" fillId="4" borderId="132" xfId="0" applyNumberFormat="1" applyFont="1" applyFill="1" applyBorder="1" applyAlignment="1">
      <alignment horizontal="right" vertical="center"/>
    </xf>
    <xf numFmtId="9" fontId="16" fillId="3" borderId="133" xfId="0" applyNumberFormat="1" applyFont="1" applyFill="1" applyBorder="1" applyAlignment="1">
      <alignment vertical="center"/>
    </xf>
    <xf numFmtId="166" fontId="17" fillId="4" borderId="134" xfId="0" applyNumberFormat="1" applyFont="1" applyFill="1" applyBorder="1" applyAlignment="1">
      <alignment vertical="center"/>
    </xf>
    <xf numFmtId="9" fontId="21" fillId="4" borderId="132" xfId="2" applyFont="1" applyFill="1" applyBorder="1" applyAlignment="1">
      <alignment horizontal="right" vertical="center"/>
    </xf>
    <xf numFmtId="166" fontId="17" fillId="4" borderId="107" xfId="0" applyNumberFormat="1" applyFont="1" applyFill="1" applyBorder="1" applyAlignment="1">
      <alignment vertical="center"/>
    </xf>
    <xf numFmtId="9" fontId="17" fillId="4" borderId="132" xfId="2" applyFont="1" applyFill="1" applyBorder="1" applyAlignment="1">
      <alignment horizontal="right" vertical="center"/>
    </xf>
    <xf numFmtId="166" fontId="16" fillId="3" borderId="133" xfId="0" applyNumberFormat="1" applyFont="1" applyFill="1" applyBorder="1" applyAlignment="1">
      <alignment vertical="center"/>
    </xf>
    <xf numFmtId="166" fontId="16" fillId="4" borderId="134" xfId="0" applyNumberFormat="1" applyFont="1" applyFill="1" applyBorder="1" applyAlignment="1">
      <alignment vertical="center"/>
    </xf>
    <xf numFmtId="166" fontId="16" fillId="4" borderId="106" xfId="0" applyNumberFormat="1" applyFont="1" applyFill="1" applyBorder="1" applyAlignment="1">
      <alignment vertical="center"/>
    </xf>
    <xf numFmtId="166" fontId="17" fillId="4" borderId="82" xfId="0" applyNumberFormat="1" applyFont="1" applyFill="1" applyBorder="1" applyAlignment="1">
      <alignment horizontal="center" vertical="center"/>
    </xf>
    <xf numFmtId="9" fontId="19" fillId="3" borderId="10" xfId="0" applyNumberFormat="1" applyFont="1" applyFill="1" applyBorder="1" applyAlignment="1">
      <alignment vertical="center"/>
    </xf>
    <xf numFmtId="9" fontId="23" fillId="3" borderId="10" xfId="0" applyNumberFormat="1" applyFont="1" applyFill="1" applyBorder="1" applyAlignment="1">
      <alignment horizontal="right" vertical="center"/>
    </xf>
    <xf numFmtId="9" fontId="23" fillId="3" borderId="135" xfId="0" applyNumberFormat="1" applyFont="1" applyFill="1" applyBorder="1" applyAlignment="1">
      <alignment horizontal="right" vertical="center"/>
    </xf>
    <xf numFmtId="166" fontId="16" fillId="3" borderId="11" xfId="0" applyNumberFormat="1" applyFont="1" applyFill="1" applyBorder="1" applyAlignment="1">
      <alignment vertical="center"/>
    </xf>
    <xf numFmtId="166" fontId="19" fillId="3" borderId="11" xfId="0" applyNumberFormat="1" applyFont="1" applyFill="1" applyBorder="1" applyAlignment="1">
      <alignment vertical="center"/>
    </xf>
    <xf numFmtId="166" fontId="16" fillId="4" borderId="83" xfId="0" applyNumberFormat="1" applyFont="1" applyFill="1" applyBorder="1" applyAlignment="1">
      <alignment vertical="center"/>
    </xf>
    <xf numFmtId="166" fontId="23" fillId="3" borderId="11" xfId="0" applyNumberFormat="1" applyFont="1" applyFill="1" applyBorder="1" applyAlignment="1">
      <alignment horizontal="right" vertical="center"/>
    </xf>
    <xf numFmtId="165" fontId="16" fillId="3" borderId="14" xfId="0" applyNumberFormat="1" applyFont="1" applyFill="1" applyBorder="1" applyAlignment="1">
      <alignment vertical="center"/>
    </xf>
    <xf numFmtId="0" fontId="19" fillId="0" borderId="11" xfId="0" applyFont="1" applyBorder="1"/>
    <xf numFmtId="9" fontId="19" fillId="3" borderId="24" xfId="0" applyNumberFormat="1" applyFont="1" applyFill="1" applyBorder="1" applyAlignment="1">
      <alignment vertical="center"/>
    </xf>
    <xf numFmtId="9" fontId="16" fillId="4" borderId="132" xfId="2" applyFont="1" applyFill="1" applyBorder="1" applyAlignment="1">
      <alignment horizontal="right" vertical="center"/>
    </xf>
    <xf numFmtId="166" fontId="16" fillId="2" borderId="34" xfId="0" applyNumberFormat="1" applyFont="1" applyFill="1" applyBorder="1" applyAlignment="1">
      <alignment vertical="center"/>
    </xf>
    <xf numFmtId="166" fontId="16" fillId="2" borderId="136" xfId="0" applyNumberFormat="1" applyFont="1" applyFill="1" applyBorder="1" applyAlignment="1">
      <alignment vertical="center"/>
    </xf>
    <xf numFmtId="166" fontId="17" fillId="4" borderId="137" xfId="0" applyNumberFormat="1" applyFont="1" applyFill="1" applyBorder="1" applyAlignment="1">
      <alignment vertical="center"/>
    </xf>
    <xf numFmtId="9" fontId="23" fillId="2" borderId="129" xfId="0" applyNumberFormat="1" applyFont="1" applyFill="1" applyBorder="1" applyAlignment="1">
      <alignment horizontal="right" vertical="center"/>
    </xf>
    <xf numFmtId="15" fontId="27" fillId="0" borderId="138" xfId="0" applyNumberFormat="1" applyFont="1" applyBorder="1" applyAlignment="1">
      <alignment horizontal="center" vertical="center"/>
    </xf>
    <xf numFmtId="166" fontId="17" fillId="4" borderId="139" xfId="0" applyNumberFormat="1" applyFont="1" applyFill="1" applyBorder="1" applyAlignment="1">
      <alignment vertical="center"/>
    </xf>
    <xf numFmtId="9" fontId="17" fillId="4" borderId="140" xfId="2" applyFont="1" applyFill="1" applyBorder="1" applyAlignment="1">
      <alignment horizontal="right" vertical="center"/>
    </xf>
    <xf numFmtId="166" fontId="17" fillId="4" borderId="135" xfId="0" applyNumberFormat="1" applyFont="1" applyFill="1" applyBorder="1" applyAlignment="1">
      <alignment vertical="center"/>
    </xf>
    <xf numFmtId="166" fontId="19" fillId="2" borderId="60" xfId="0" applyNumberFormat="1" applyFont="1" applyFill="1" applyBorder="1" applyAlignment="1">
      <alignment vertical="center"/>
    </xf>
    <xf numFmtId="166" fontId="16" fillId="4" borderId="131" xfId="0" applyNumberFormat="1" applyFont="1" applyFill="1" applyBorder="1" applyAlignment="1">
      <alignment vertical="center"/>
    </xf>
    <xf numFmtId="166" fontId="18" fillId="0" borderId="0" xfId="0" applyNumberFormat="1" applyFont="1" applyAlignment="1">
      <alignment horizontal="center"/>
    </xf>
    <xf numFmtId="166" fontId="18" fillId="4" borderId="27" xfId="0" applyNumberFormat="1" applyFont="1" applyFill="1" applyBorder="1" applyAlignment="1">
      <alignment horizontal="center"/>
    </xf>
    <xf numFmtId="166" fontId="20" fillId="2" borderId="27" xfId="0" applyNumberFormat="1" applyFont="1" applyFill="1" applyBorder="1"/>
    <xf numFmtId="166" fontId="18" fillId="8" borderId="18" xfId="0" applyNumberFormat="1" applyFont="1" applyFill="1" applyBorder="1"/>
    <xf numFmtId="166" fontId="18" fillId="8" borderId="10" xfId="0" applyNumberFormat="1" applyFont="1" applyFill="1" applyBorder="1"/>
    <xf numFmtId="166" fontId="18" fillId="2" borderId="10" xfId="0" applyNumberFormat="1" applyFont="1" applyFill="1" applyBorder="1"/>
    <xf numFmtId="166" fontId="20" fillId="2" borderId="18" xfId="0" applyNumberFormat="1" applyFont="1" applyFill="1" applyBorder="1"/>
    <xf numFmtId="165" fontId="19" fillId="0" borderId="11" xfId="0" applyNumberFormat="1" applyFont="1" applyBorder="1" applyAlignment="1">
      <alignment vertical="center"/>
    </xf>
    <xf numFmtId="166" fontId="19" fillId="0" borderId="50" xfId="0" applyNumberFormat="1" applyFont="1" applyBorder="1" applyAlignment="1">
      <alignment vertical="center"/>
    </xf>
    <xf numFmtId="9" fontId="23" fillId="0" borderId="65" xfId="0" applyNumberFormat="1" applyFont="1" applyBorder="1" applyAlignment="1">
      <alignment horizontal="right" vertical="center"/>
    </xf>
    <xf numFmtId="166" fontId="29" fillId="0" borderId="0" xfId="0" applyNumberFormat="1" applyFont="1" applyAlignment="1">
      <alignment vertical="center"/>
    </xf>
    <xf numFmtId="166" fontId="29" fillId="0" borderId="50" xfId="0" applyNumberFormat="1" applyFont="1" applyBorder="1" applyAlignment="1">
      <alignment vertical="center"/>
    </xf>
    <xf numFmtId="49" fontId="23" fillId="0" borderId="65" xfId="0" applyNumberFormat="1" applyFont="1" applyBorder="1" applyAlignment="1">
      <alignment horizontal="right" vertical="center"/>
    </xf>
    <xf numFmtId="166" fontId="19" fillId="0" borderId="141" xfId="0" applyNumberFormat="1" applyFont="1" applyBorder="1"/>
    <xf numFmtId="166" fontId="19" fillId="0" borderId="142" xfId="0" applyNumberFormat="1" applyFont="1" applyBorder="1"/>
    <xf numFmtId="166" fontId="19" fillId="0" borderId="143" xfId="0" applyNumberFormat="1" applyFont="1" applyBorder="1"/>
    <xf numFmtId="166" fontId="19" fillId="5" borderId="145" xfId="0" applyNumberFormat="1" applyFont="1" applyFill="1" applyBorder="1"/>
    <xf numFmtId="166" fontId="19" fillId="5" borderId="146" xfId="0" applyNumberFormat="1" applyFont="1" applyFill="1" applyBorder="1"/>
    <xf numFmtId="166" fontId="19" fillId="5" borderId="144" xfId="0" applyNumberFormat="1" applyFont="1" applyFill="1" applyBorder="1"/>
    <xf numFmtId="166" fontId="19" fillId="0" borderId="147" xfId="0" applyNumberFormat="1" applyFont="1" applyBorder="1"/>
    <xf numFmtId="166" fontId="19" fillId="5" borderId="149" xfId="0" applyNumberFormat="1" applyFont="1" applyFill="1" applyBorder="1"/>
    <xf numFmtId="166" fontId="19" fillId="0" borderId="148" xfId="0" applyNumberFormat="1" applyFont="1" applyBorder="1"/>
    <xf numFmtId="166" fontId="19" fillId="0" borderId="82" xfId="0" applyNumberFormat="1" applyFont="1" applyBorder="1" applyAlignment="1">
      <alignment vertical="center"/>
    </xf>
    <xf numFmtId="166" fontId="21" fillId="2" borderId="54" xfId="0" applyNumberFormat="1" applyFont="1" applyFill="1" applyBorder="1" applyAlignment="1">
      <alignment vertical="center"/>
    </xf>
    <xf numFmtId="166" fontId="19" fillId="0" borderId="56" xfId="0" applyNumberFormat="1" applyFont="1" applyBorder="1" applyAlignment="1">
      <alignment vertical="center"/>
    </xf>
    <xf numFmtId="166" fontId="3" fillId="2" borderId="14" xfId="0" applyNumberFormat="1" applyFont="1" applyFill="1" applyBorder="1"/>
    <xf numFmtId="169" fontId="16" fillId="2" borderId="52" xfId="0" applyNumberFormat="1" applyFont="1" applyFill="1" applyBorder="1" applyAlignment="1">
      <alignment vertical="center"/>
    </xf>
    <xf numFmtId="169" fontId="17" fillId="4" borderId="46" xfId="0" applyNumberFormat="1" applyFont="1" applyFill="1" applyBorder="1" applyAlignment="1">
      <alignment horizontal="center" vertical="center"/>
    </xf>
    <xf numFmtId="169" fontId="17" fillId="0" borderId="52" xfId="0" applyNumberFormat="1" applyFont="1" applyBorder="1" applyAlignment="1">
      <alignment horizontal="center" vertical="center"/>
    </xf>
    <xf numFmtId="166" fontId="16" fillId="5" borderId="43" xfId="0" applyNumberFormat="1" applyFont="1" applyFill="1" applyBorder="1" applyAlignment="1">
      <alignment vertical="center"/>
    </xf>
    <xf numFmtId="166" fontId="19" fillId="2" borderId="94" xfId="0" applyNumberFormat="1" applyFont="1" applyFill="1" applyBorder="1" applyAlignment="1">
      <alignment vertical="center"/>
    </xf>
    <xf numFmtId="166" fontId="19" fillId="2" borderId="151" xfId="0" applyNumberFormat="1" applyFont="1" applyFill="1" applyBorder="1" applyAlignment="1">
      <alignment vertical="center"/>
    </xf>
    <xf numFmtId="166" fontId="17" fillId="4" borderId="80" xfId="0" applyNumberFormat="1" applyFont="1" applyFill="1" applyBorder="1" applyAlignment="1">
      <alignment vertical="center"/>
    </xf>
    <xf numFmtId="49" fontId="17" fillId="4" borderId="24" xfId="0" applyNumberFormat="1" applyFont="1" applyFill="1" applyBorder="1" applyAlignment="1">
      <alignment horizontal="center" vertical="center"/>
    </xf>
    <xf numFmtId="165" fontId="16" fillId="2" borderId="24" xfId="0" applyNumberFormat="1" applyFont="1" applyFill="1" applyBorder="1" applyAlignment="1">
      <alignment vertical="center"/>
    </xf>
    <xf numFmtId="9" fontId="23" fillId="2" borderId="24" xfId="0" applyNumberFormat="1" applyFont="1" applyFill="1" applyBorder="1" applyAlignment="1">
      <alignment horizontal="right" vertical="center"/>
    </xf>
    <xf numFmtId="166" fontId="17" fillId="0" borderId="56" xfId="0" applyNumberFormat="1" applyFont="1" applyBorder="1" applyAlignment="1">
      <alignment horizontal="center" vertical="center"/>
    </xf>
    <xf numFmtId="49" fontId="17" fillId="0" borderId="153" xfId="0" applyNumberFormat="1" applyFont="1" applyBorder="1" applyAlignment="1">
      <alignment horizontal="center" vertical="center"/>
    </xf>
    <xf numFmtId="166" fontId="17" fillId="4" borderId="136" xfId="0" applyNumberFormat="1" applyFont="1" applyFill="1" applyBorder="1" applyAlignment="1">
      <alignment vertical="center"/>
    </xf>
    <xf numFmtId="2" fontId="19" fillId="5" borderId="82" xfId="0" applyNumberFormat="1" applyFont="1" applyFill="1" applyBorder="1" applyAlignment="1">
      <alignment vertical="center"/>
    </xf>
    <xf numFmtId="2" fontId="19" fillId="2" borderId="82" xfId="0" applyNumberFormat="1" applyFont="1" applyFill="1" applyBorder="1" applyAlignment="1">
      <alignment vertical="center"/>
    </xf>
    <xf numFmtId="2" fontId="19" fillId="5" borderId="56" xfId="0" applyNumberFormat="1" applyFont="1" applyFill="1" applyBorder="1" applyAlignment="1">
      <alignment vertical="center"/>
    </xf>
    <xf numFmtId="166" fontId="17" fillId="4" borderId="94" xfId="0" applyNumberFormat="1" applyFont="1" applyFill="1" applyBorder="1" applyAlignment="1">
      <alignment vertical="center"/>
    </xf>
    <xf numFmtId="168" fontId="17" fillId="4" borderId="46" xfId="0" applyNumberFormat="1" applyFont="1" applyFill="1" applyBorder="1" applyAlignment="1">
      <alignment horizontal="center" vertical="center"/>
    </xf>
    <xf numFmtId="168" fontId="16" fillId="2" borderId="52" xfId="0" applyNumberFormat="1" applyFont="1" applyFill="1" applyBorder="1" applyAlignment="1">
      <alignment vertical="center"/>
    </xf>
    <xf numFmtId="166" fontId="19" fillId="2" borderId="52" xfId="0" applyNumberFormat="1" applyFont="1" applyFill="1" applyBorder="1" applyAlignment="1">
      <alignment horizontal="left" vertical="center" indent="6"/>
    </xf>
    <xf numFmtId="165" fontId="16" fillId="5" borderId="33" xfId="0" applyNumberFormat="1" applyFont="1" applyFill="1" applyBorder="1" applyAlignment="1">
      <alignment vertical="center"/>
    </xf>
    <xf numFmtId="9" fontId="19" fillId="2" borderId="24" xfId="0" applyNumberFormat="1" applyFont="1" applyFill="1" applyBorder="1" applyAlignment="1">
      <alignment vertical="center"/>
    </xf>
    <xf numFmtId="9" fontId="19" fillId="5" borderId="24" xfId="0" applyNumberFormat="1" applyFont="1" applyFill="1" applyBorder="1" applyAlignment="1">
      <alignment vertical="center"/>
    </xf>
    <xf numFmtId="9" fontId="23" fillId="5" borderId="24" xfId="0" applyNumberFormat="1" applyFont="1" applyFill="1" applyBorder="1" applyAlignment="1">
      <alignment horizontal="right" vertical="center"/>
    </xf>
    <xf numFmtId="166" fontId="19" fillId="5" borderId="99" xfId="0" applyNumberFormat="1" applyFont="1" applyFill="1" applyBorder="1" applyAlignment="1">
      <alignment vertical="center"/>
    </xf>
    <xf numFmtId="166" fontId="19" fillId="5" borderId="52" xfId="0" applyNumberFormat="1" applyFont="1" applyFill="1" applyBorder="1" applyAlignment="1">
      <alignment vertical="center"/>
    </xf>
    <xf numFmtId="9" fontId="19" fillId="0" borderId="24" xfId="2" applyFont="1" applyBorder="1" applyAlignment="1"/>
    <xf numFmtId="166" fontId="19" fillId="2" borderId="152" xfId="0" applyNumberFormat="1" applyFont="1" applyFill="1" applyBorder="1" applyAlignment="1">
      <alignment vertical="center"/>
    </xf>
    <xf numFmtId="9" fontId="19" fillId="0" borderId="24" xfId="0" applyNumberFormat="1" applyFont="1" applyBorder="1"/>
    <xf numFmtId="9" fontId="16" fillId="0" borderId="11" xfId="0" applyNumberFormat="1" applyFont="1" applyBorder="1" applyAlignment="1">
      <alignment vertical="center"/>
    </xf>
    <xf numFmtId="9" fontId="19" fillId="5" borderId="110" xfId="0" applyNumberFormat="1" applyFont="1" applyFill="1" applyBorder="1" applyAlignment="1">
      <alignment vertical="center"/>
    </xf>
    <xf numFmtId="9" fontId="16" fillId="2" borderId="24" xfId="2" applyFont="1" applyFill="1" applyBorder="1" applyAlignment="1">
      <alignment vertical="center"/>
    </xf>
    <xf numFmtId="9" fontId="23" fillId="5" borderId="110" xfId="2" applyFont="1" applyFill="1" applyBorder="1" applyAlignment="1">
      <alignment horizontal="right" vertical="center"/>
    </xf>
    <xf numFmtId="9" fontId="19" fillId="0" borderId="51" xfId="2" applyFont="1" applyBorder="1" applyAlignment="1"/>
    <xf numFmtId="9" fontId="17" fillId="0" borderId="110" xfId="0" applyNumberFormat="1" applyFont="1" applyBorder="1" applyAlignment="1">
      <alignment horizontal="center" vertical="center"/>
    </xf>
    <xf numFmtId="166" fontId="17" fillId="4" borderId="156" xfId="0" applyNumberFormat="1" applyFont="1" applyFill="1" applyBorder="1" applyAlignment="1">
      <alignment horizontal="center" vertical="center"/>
    </xf>
    <xf numFmtId="166" fontId="17" fillId="4" borderId="157" xfId="0" applyNumberFormat="1" applyFont="1" applyFill="1" applyBorder="1" applyAlignment="1">
      <alignment horizontal="center" vertical="center"/>
    </xf>
    <xf numFmtId="166" fontId="17" fillId="4" borderId="26" xfId="0" applyNumberFormat="1" applyFont="1" applyFill="1" applyBorder="1" applyAlignment="1">
      <alignment horizontal="center" vertical="center"/>
    </xf>
    <xf numFmtId="9" fontId="17" fillId="4" borderId="103" xfId="0" applyNumberFormat="1" applyFont="1" applyFill="1" applyBorder="1" applyAlignment="1">
      <alignment horizontal="center" vertical="center"/>
    </xf>
    <xf numFmtId="166" fontId="17" fillId="4" borderId="158" xfId="0" applyNumberFormat="1" applyFont="1" applyFill="1" applyBorder="1" applyAlignment="1">
      <alignment horizontal="center" vertical="center"/>
    </xf>
    <xf numFmtId="9" fontId="17" fillId="0" borderId="110" xfId="2" applyFont="1" applyFill="1" applyBorder="1" applyAlignment="1">
      <alignment horizontal="center" vertical="center"/>
    </xf>
    <xf numFmtId="9" fontId="17" fillId="4" borderId="103" xfId="2" applyFont="1" applyFill="1" applyBorder="1" applyAlignment="1">
      <alignment horizontal="center" vertical="center"/>
    </xf>
    <xf numFmtId="166" fontId="17" fillId="4" borderId="159" xfId="0" applyNumberFormat="1" applyFont="1" applyFill="1" applyBorder="1" applyAlignment="1">
      <alignment horizontal="center" vertical="center"/>
    </xf>
    <xf numFmtId="166" fontId="17" fillId="4" borderId="160" xfId="0" applyNumberFormat="1" applyFont="1" applyFill="1" applyBorder="1" applyAlignment="1">
      <alignment horizontal="center" vertical="center"/>
    </xf>
    <xf numFmtId="166" fontId="17" fillId="4" borderId="161" xfId="0" applyNumberFormat="1" applyFont="1" applyFill="1" applyBorder="1" applyAlignment="1">
      <alignment horizontal="center" vertical="center"/>
    </xf>
    <xf numFmtId="9" fontId="17" fillId="0" borderId="51" xfId="2" applyFont="1" applyFill="1" applyBorder="1" applyAlignment="1">
      <alignment horizontal="center" vertical="center"/>
    </xf>
    <xf numFmtId="166" fontId="17" fillId="0" borderId="162" xfId="0" applyNumberFormat="1" applyFont="1" applyBorder="1" applyAlignment="1">
      <alignment horizontal="center" vertical="center"/>
    </xf>
    <xf numFmtId="166" fontId="19" fillId="0" borderId="56" xfId="0" applyNumberFormat="1" applyFont="1" applyBorder="1"/>
    <xf numFmtId="166" fontId="19" fillId="5" borderId="50" xfId="0" applyNumberFormat="1" applyFont="1" applyFill="1" applyBorder="1" applyAlignment="1">
      <alignment vertical="center"/>
    </xf>
    <xf numFmtId="9" fontId="23" fillId="5" borderId="24" xfId="2" applyFont="1" applyFill="1" applyBorder="1" applyAlignment="1">
      <alignment horizontal="right" vertical="center"/>
    </xf>
    <xf numFmtId="166" fontId="1" fillId="4" borderId="135" xfId="0" applyNumberFormat="1" applyFont="1" applyFill="1" applyBorder="1"/>
    <xf numFmtId="166" fontId="16" fillId="2" borderId="17" xfId="0" applyNumberFormat="1" applyFont="1" applyFill="1" applyBorder="1" applyAlignment="1">
      <alignment vertical="center"/>
    </xf>
    <xf numFmtId="166" fontId="17" fillId="4" borderId="89" xfId="0" applyNumberFormat="1" applyFont="1" applyFill="1" applyBorder="1" applyAlignment="1">
      <alignment vertical="center"/>
    </xf>
    <xf numFmtId="166" fontId="17" fillId="4" borderId="87" xfId="0" applyNumberFormat="1" applyFont="1" applyFill="1" applyBorder="1" applyAlignment="1">
      <alignment vertical="center"/>
    </xf>
    <xf numFmtId="166" fontId="16" fillId="2" borderId="95" xfId="0" applyNumberFormat="1" applyFont="1" applyFill="1" applyBorder="1" applyAlignment="1">
      <alignment vertical="center"/>
    </xf>
    <xf numFmtId="166" fontId="16" fillId="2" borderId="97" xfId="0" applyNumberFormat="1" applyFont="1" applyFill="1" applyBorder="1" applyAlignment="1">
      <alignment vertical="center"/>
    </xf>
    <xf numFmtId="166" fontId="17" fillId="4" borderId="163" xfId="0" applyNumberFormat="1" applyFont="1" applyFill="1" applyBorder="1" applyAlignment="1">
      <alignment vertical="center"/>
    </xf>
    <xf numFmtId="166" fontId="17" fillId="0" borderId="51" xfId="0" applyNumberFormat="1" applyFont="1" applyBorder="1" applyAlignment="1">
      <alignment horizontal="center" vertical="center"/>
    </xf>
    <xf numFmtId="166" fontId="16" fillId="2" borderId="51" xfId="0" applyNumberFormat="1" applyFont="1" applyFill="1" applyBorder="1" applyAlignment="1">
      <alignment vertical="center"/>
    </xf>
    <xf numFmtId="166" fontId="17" fillId="4" borderId="164" xfId="0" applyNumberFormat="1" applyFont="1" applyFill="1" applyBorder="1" applyAlignment="1">
      <alignment vertical="center"/>
    </xf>
    <xf numFmtId="166" fontId="16" fillId="2" borderId="81" xfId="0" applyNumberFormat="1" applyFont="1" applyFill="1" applyBorder="1" applyAlignment="1">
      <alignment vertical="center"/>
    </xf>
    <xf numFmtId="166" fontId="16" fillId="2" borderId="49" xfId="0" applyNumberFormat="1" applyFont="1" applyFill="1" applyBorder="1" applyAlignment="1">
      <alignment vertical="center"/>
    </xf>
    <xf numFmtId="166" fontId="19" fillId="2" borderId="165" xfId="0" applyNumberFormat="1" applyFont="1" applyFill="1" applyBorder="1" applyAlignment="1">
      <alignment vertical="center"/>
    </xf>
    <xf numFmtId="166" fontId="19" fillId="2" borderId="49" xfId="0" applyNumberFormat="1" applyFont="1" applyFill="1" applyBorder="1" applyAlignment="1">
      <alignment vertical="center"/>
    </xf>
    <xf numFmtId="166" fontId="17" fillId="4" borderId="166" xfId="0" applyNumberFormat="1" applyFont="1" applyFill="1" applyBorder="1" applyAlignment="1">
      <alignment vertical="center"/>
    </xf>
    <xf numFmtId="166" fontId="16" fillId="2" borderId="166" xfId="0" applyNumberFormat="1" applyFont="1" applyFill="1" applyBorder="1" applyAlignment="1">
      <alignment vertical="center"/>
    </xf>
    <xf numFmtId="166" fontId="17" fillId="4" borderId="167" xfId="0" applyNumberFormat="1" applyFont="1" applyFill="1" applyBorder="1" applyAlignment="1">
      <alignment vertical="center"/>
    </xf>
    <xf numFmtId="166" fontId="16" fillId="2" borderId="93" xfId="0" applyNumberFormat="1" applyFont="1" applyFill="1" applyBorder="1" applyAlignment="1">
      <alignment vertical="center"/>
    </xf>
    <xf numFmtId="166" fontId="16" fillId="2" borderId="96" xfId="0" applyNumberFormat="1" applyFont="1" applyFill="1" applyBorder="1" applyAlignment="1">
      <alignment vertical="center"/>
    </xf>
    <xf numFmtId="166" fontId="17" fillId="4" borderId="34" xfId="0" applyNumberFormat="1" applyFont="1" applyFill="1" applyBorder="1" applyAlignment="1">
      <alignment vertical="center"/>
    </xf>
    <xf numFmtId="166" fontId="16" fillId="5" borderId="89" xfId="0" applyNumberFormat="1" applyFont="1" applyFill="1" applyBorder="1" applyAlignment="1">
      <alignment vertical="center"/>
    </xf>
    <xf numFmtId="166" fontId="19" fillId="5" borderId="17" xfId="0" applyNumberFormat="1" applyFont="1" applyFill="1" applyBorder="1" applyAlignment="1">
      <alignment vertical="center"/>
    </xf>
    <xf numFmtId="166" fontId="19" fillId="5" borderId="51" xfId="0" applyNumberFormat="1" applyFont="1" applyFill="1" applyBorder="1" applyAlignment="1">
      <alignment vertical="center"/>
    </xf>
    <xf numFmtId="166" fontId="16" fillId="5" borderId="166" xfId="0" applyNumberFormat="1" applyFont="1" applyFill="1" applyBorder="1" applyAlignment="1">
      <alignment vertical="center"/>
    </xf>
    <xf numFmtId="166" fontId="19" fillId="2" borderId="34" xfId="0" applyNumberFormat="1" applyFont="1" applyFill="1" applyBorder="1" applyAlignment="1">
      <alignment vertical="center"/>
    </xf>
    <xf numFmtId="166" fontId="19" fillId="2" borderId="89" xfId="0" applyNumberFormat="1" applyFont="1" applyFill="1" applyBorder="1" applyAlignment="1">
      <alignment vertical="center"/>
    </xf>
    <xf numFmtId="166" fontId="16" fillId="4" borderId="87" xfId="0" applyNumberFormat="1" applyFont="1" applyFill="1" applyBorder="1" applyAlignment="1">
      <alignment vertical="center"/>
    </xf>
    <xf numFmtId="166" fontId="19" fillId="2" borderId="166" xfId="0" applyNumberFormat="1" applyFont="1" applyFill="1" applyBorder="1" applyAlignment="1">
      <alignment vertical="center"/>
    </xf>
    <xf numFmtId="166" fontId="16" fillId="4" borderId="167" xfId="0" applyNumberFormat="1" applyFont="1" applyFill="1" applyBorder="1" applyAlignment="1">
      <alignment vertical="center"/>
    </xf>
    <xf numFmtId="9" fontId="21" fillId="4" borderId="168" xfId="0" applyNumberFormat="1" applyFont="1" applyFill="1" applyBorder="1" applyAlignment="1">
      <alignment horizontal="right" vertical="center"/>
    </xf>
    <xf numFmtId="165" fontId="16" fillId="2" borderId="168" xfId="0" applyNumberFormat="1" applyFont="1" applyFill="1" applyBorder="1" applyAlignment="1">
      <alignment vertical="center"/>
    </xf>
    <xf numFmtId="49" fontId="23" fillId="2" borderId="110" xfId="0" applyNumberFormat="1" applyFont="1" applyFill="1" applyBorder="1" applyAlignment="1">
      <alignment horizontal="right" vertical="center"/>
    </xf>
    <xf numFmtId="9" fontId="23" fillId="4" borderId="169" xfId="0" applyNumberFormat="1" applyFont="1" applyFill="1" applyBorder="1" applyAlignment="1">
      <alignment horizontal="right" vertical="center"/>
    </xf>
    <xf numFmtId="9" fontId="23" fillId="5" borderId="168" xfId="0" applyNumberFormat="1" applyFont="1" applyFill="1" applyBorder="1" applyAlignment="1">
      <alignment horizontal="right" vertical="center"/>
    </xf>
    <xf numFmtId="165" fontId="16" fillId="5" borderId="168" xfId="0" applyNumberFormat="1" applyFont="1" applyFill="1" applyBorder="1" applyAlignment="1">
      <alignment vertical="center"/>
    </xf>
    <xf numFmtId="49" fontId="23" fillId="5" borderId="110" xfId="0" applyNumberFormat="1" applyFont="1" applyFill="1" applyBorder="1" applyAlignment="1">
      <alignment horizontal="right" vertical="center"/>
    </xf>
    <xf numFmtId="9" fontId="21" fillId="4" borderId="169" xfId="0" applyNumberFormat="1" applyFont="1" applyFill="1" applyBorder="1" applyAlignment="1">
      <alignment horizontal="right" vertical="center"/>
    </xf>
    <xf numFmtId="166" fontId="19" fillId="0" borderId="17" xfId="0" applyNumberFormat="1" applyFont="1" applyBorder="1"/>
    <xf numFmtId="166" fontId="19" fillId="0" borderId="17" xfId="0" applyNumberFormat="1" applyFont="1" applyBorder="1" applyAlignment="1">
      <alignment vertical="center"/>
    </xf>
    <xf numFmtId="166" fontId="19" fillId="0" borderId="99" xfId="0" applyNumberFormat="1" applyFont="1" applyBorder="1" applyAlignment="1">
      <alignment vertical="center"/>
    </xf>
    <xf numFmtId="166" fontId="19" fillId="5" borderId="150" xfId="0" applyNumberFormat="1" applyFont="1" applyFill="1" applyBorder="1" applyAlignment="1">
      <alignment vertical="center"/>
    </xf>
    <xf numFmtId="9" fontId="16" fillId="5" borderId="88" xfId="0" applyNumberFormat="1" applyFont="1" applyFill="1" applyBorder="1" applyAlignment="1">
      <alignment vertical="center"/>
    </xf>
    <xf numFmtId="166" fontId="16" fillId="2" borderId="170" xfId="0" applyNumberFormat="1" applyFont="1" applyFill="1" applyBorder="1" applyAlignment="1">
      <alignment vertical="center"/>
    </xf>
    <xf numFmtId="9" fontId="16" fillId="2" borderId="88" xfId="0" applyNumberFormat="1" applyFont="1" applyFill="1" applyBorder="1" applyAlignment="1">
      <alignment vertical="center"/>
    </xf>
    <xf numFmtId="165" fontId="16" fillId="2" borderId="88" xfId="0" applyNumberFormat="1" applyFont="1" applyFill="1" applyBorder="1" applyAlignment="1">
      <alignment vertical="center"/>
    </xf>
    <xf numFmtId="166" fontId="19" fillId="2" borderId="98" xfId="0" applyNumberFormat="1" applyFont="1" applyFill="1" applyBorder="1" applyAlignment="1">
      <alignment vertical="center"/>
    </xf>
    <xf numFmtId="166" fontId="35" fillId="2" borderId="14" xfId="0" applyNumberFormat="1" applyFont="1" applyFill="1" applyBorder="1"/>
    <xf numFmtId="166" fontId="35" fillId="2" borderId="31" xfId="0" applyNumberFormat="1" applyFont="1" applyFill="1" applyBorder="1"/>
    <xf numFmtId="9" fontId="16" fillId="3" borderId="0" xfId="2" applyFont="1" applyFill="1" applyBorder="1" applyAlignment="1">
      <alignment vertical="center"/>
    </xf>
    <xf numFmtId="9" fontId="23" fillId="3" borderId="0" xfId="2" applyFont="1" applyFill="1" applyBorder="1" applyAlignment="1">
      <alignment horizontal="right" vertical="center"/>
    </xf>
    <xf numFmtId="166" fontId="19" fillId="2" borderId="171" xfId="0" applyNumberFormat="1" applyFont="1" applyFill="1" applyBorder="1" applyAlignment="1">
      <alignment vertical="center"/>
    </xf>
    <xf numFmtId="9" fontId="23" fillId="0" borderId="24" xfId="0" applyNumberFormat="1" applyFont="1" applyBorder="1" applyAlignment="1">
      <alignment horizontal="right" vertical="center"/>
    </xf>
    <xf numFmtId="49" fontId="19" fillId="2" borderId="17" xfId="0" applyNumberFormat="1" applyFont="1" applyFill="1" applyBorder="1" applyAlignment="1">
      <alignment vertical="center"/>
    </xf>
    <xf numFmtId="166" fontId="19" fillId="0" borderId="52" xfId="0" applyNumberFormat="1" applyFont="1" applyBorder="1" applyAlignment="1">
      <alignment vertical="center"/>
    </xf>
    <xf numFmtId="166" fontId="19" fillId="9" borderId="56" xfId="0" applyNumberFormat="1" applyFont="1" applyFill="1" applyBorder="1" applyAlignment="1">
      <alignment vertical="center"/>
    </xf>
    <xf numFmtId="166" fontId="19" fillId="9" borderId="94" xfId="0" applyNumberFormat="1" applyFont="1" applyFill="1" applyBorder="1" applyAlignment="1">
      <alignment vertical="center"/>
    </xf>
    <xf numFmtId="166" fontId="29" fillId="9" borderId="85" xfId="0" applyNumberFormat="1" applyFont="1" applyFill="1" applyBorder="1" applyAlignment="1">
      <alignment vertical="center"/>
    </xf>
    <xf numFmtId="166" fontId="19" fillId="0" borderId="85" xfId="0" applyNumberFormat="1" applyFont="1" applyBorder="1" applyAlignment="1">
      <alignment vertical="center"/>
    </xf>
    <xf numFmtId="166" fontId="29" fillId="9" borderId="56" xfId="0" applyNumberFormat="1" applyFont="1" applyFill="1" applyBorder="1" applyAlignment="1">
      <alignment vertical="center"/>
    </xf>
    <xf numFmtId="166" fontId="19" fillId="9" borderId="80" xfId="0" applyNumberFormat="1" applyFont="1" applyFill="1" applyBorder="1" applyAlignment="1">
      <alignment vertical="center"/>
    </xf>
    <xf numFmtId="166" fontId="35" fillId="2" borderId="53" xfId="0" applyNumberFormat="1" applyFont="1" applyFill="1" applyBorder="1" applyAlignment="1">
      <alignment vertical="center"/>
    </xf>
    <xf numFmtId="166" fontId="35" fillId="2" borderId="61" xfId="0" applyNumberFormat="1" applyFont="1" applyFill="1" applyBorder="1" applyAlignment="1">
      <alignment vertical="center"/>
    </xf>
    <xf numFmtId="49" fontId="23" fillId="2" borderId="17" xfId="0" applyNumberFormat="1" applyFont="1" applyFill="1" applyBorder="1" applyAlignment="1">
      <alignment vertical="center"/>
    </xf>
    <xf numFmtId="166" fontId="19" fillId="0" borderId="108" xfId="0" applyNumberFormat="1" applyFont="1" applyBorder="1"/>
    <xf numFmtId="166" fontId="19" fillId="5" borderId="22" xfId="0" applyNumberFormat="1" applyFont="1" applyFill="1" applyBorder="1"/>
    <xf numFmtId="166" fontId="21" fillId="5" borderId="10" xfId="0" applyNumberFormat="1" applyFont="1" applyFill="1" applyBorder="1"/>
    <xf numFmtId="166" fontId="21" fillId="5" borderId="11" xfId="0" applyNumberFormat="1" applyFont="1" applyFill="1" applyBorder="1"/>
    <xf numFmtId="166" fontId="21" fillId="5" borderId="22" xfId="0" applyNumberFormat="1" applyFont="1" applyFill="1" applyBorder="1"/>
    <xf numFmtId="166" fontId="21" fillId="5" borderId="26" xfId="0" applyNumberFormat="1" applyFont="1" applyFill="1" applyBorder="1"/>
    <xf numFmtId="166" fontId="21" fillId="0" borderId="26" xfId="0" applyNumberFormat="1" applyFont="1" applyBorder="1"/>
    <xf numFmtId="166" fontId="21" fillId="0" borderId="22" xfId="0" applyNumberFormat="1" applyFont="1" applyBorder="1"/>
    <xf numFmtId="0" fontId="19" fillId="0" borderId="25" xfId="0" applyFont="1" applyBorder="1"/>
    <xf numFmtId="169" fontId="7" fillId="4" borderId="17" xfId="0" applyNumberFormat="1" applyFont="1" applyFill="1" applyBorder="1" applyAlignment="1">
      <alignment horizontal="center" vertical="center"/>
    </xf>
    <xf numFmtId="169" fontId="7" fillId="4" borderId="17" xfId="0" applyNumberFormat="1" applyFont="1" applyFill="1" applyBorder="1"/>
    <xf numFmtId="166" fontId="7" fillId="4" borderId="11" xfId="0" applyNumberFormat="1" applyFont="1" applyFill="1" applyBorder="1" applyAlignment="1">
      <alignment horizontal="center"/>
    </xf>
    <xf numFmtId="166" fontId="21" fillId="6" borderId="10" xfId="0" applyNumberFormat="1" applyFont="1" applyFill="1" applyBorder="1"/>
    <xf numFmtId="10" fontId="17" fillId="4" borderId="18" xfId="2" applyNumberFormat="1" applyFont="1" applyFill="1" applyBorder="1" applyAlignment="1"/>
    <xf numFmtId="166" fontId="23" fillId="6" borderId="10" xfId="0" applyNumberFormat="1" applyFont="1" applyFill="1" applyBorder="1"/>
    <xf numFmtId="2" fontId="16" fillId="3" borderId="18" xfId="2" applyNumberFormat="1" applyFont="1" applyFill="1" applyBorder="1" applyAlignment="1"/>
    <xf numFmtId="166" fontId="23" fillId="2" borderId="27" xfId="0" applyNumberFormat="1" applyFont="1" applyFill="1" applyBorder="1"/>
    <xf numFmtId="166" fontId="17" fillId="6" borderId="10" xfId="0" applyNumberFormat="1" applyFont="1" applyFill="1" applyBorder="1" applyAlignment="1">
      <alignment wrapText="1"/>
    </xf>
    <xf numFmtId="166" fontId="19" fillId="0" borderId="11" xfId="0" applyNumberFormat="1" applyFont="1" applyBorder="1" applyAlignment="1">
      <alignment horizontal="right"/>
    </xf>
    <xf numFmtId="166" fontId="16" fillId="3" borderId="18" xfId="2" applyNumberFormat="1" applyFont="1" applyFill="1" applyBorder="1" applyAlignment="1"/>
    <xf numFmtId="166" fontId="19" fillId="6" borderId="10" xfId="0" applyNumberFormat="1" applyFont="1" applyFill="1" applyBorder="1"/>
    <xf numFmtId="166" fontId="19" fillId="3" borderId="18" xfId="0" applyNumberFormat="1" applyFont="1" applyFill="1" applyBorder="1"/>
    <xf numFmtId="166" fontId="21" fillId="6" borderId="21" xfId="0" applyNumberFormat="1" applyFont="1" applyFill="1" applyBorder="1"/>
    <xf numFmtId="166" fontId="21" fillId="2" borderId="25" xfId="0" applyNumberFormat="1" applyFont="1" applyFill="1" applyBorder="1"/>
    <xf numFmtId="10" fontId="17" fillId="4" borderId="19" xfId="2" applyNumberFormat="1" applyFont="1" applyFill="1" applyBorder="1" applyAlignment="1"/>
    <xf numFmtId="166" fontId="23" fillId="6" borderId="21" xfId="0" applyNumberFormat="1" applyFont="1" applyFill="1" applyBorder="1"/>
    <xf numFmtId="2" fontId="16" fillId="3" borderId="19" xfId="2" applyNumberFormat="1" applyFont="1" applyFill="1" applyBorder="1" applyAlignment="1"/>
    <xf numFmtId="166" fontId="23" fillId="2" borderId="25" xfId="0" applyNumberFormat="1" applyFont="1" applyFill="1" applyBorder="1"/>
    <xf numFmtId="166" fontId="17" fillId="6" borderId="21" xfId="0" applyNumberFormat="1" applyFont="1" applyFill="1" applyBorder="1" applyAlignment="1">
      <alignment wrapText="1"/>
    </xf>
    <xf numFmtId="166" fontId="19" fillId="0" borderId="17" xfId="0" applyNumberFormat="1" applyFont="1" applyBorder="1" applyAlignment="1">
      <alignment horizontal="right"/>
    </xf>
    <xf numFmtId="166" fontId="19" fillId="0" borderId="25" xfId="0" applyNumberFormat="1" applyFont="1" applyBorder="1" applyAlignment="1">
      <alignment horizontal="right"/>
    </xf>
    <xf numFmtId="166" fontId="16" fillId="3" borderId="19" xfId="2" applyNumberFormat="1" applyFont="1" applyFill="1" applyBorder="1" applyAlignment="1"/>
    <xf numFmtId="166" fontId="19" fillId="6" borderId="21" xfId="0" applyNumberFormat="1" applyFont="1" applyFill="1" applyBorder="1"/>
    <xf numFmtId="166" fontId="19" fillId="5" borderId="25" xfId="0" applyNumberFormat="1" applyFont="1" applyFill="1" applyBorder="1"/>
    <xf numFmtId="166" fontId="19" fillId="3" borderId="19" xfId="0" applyNumberFormat="1" applyFont="1" applyFill="1" applyBorder="1"/>
    <xf numFmtId="166" fontId="13" fillId="2" borderId="18" xfId="0" applyNumberFormat="1" applyFont="1" applyFill="1" applyBorder="1" applyAlignment="1">
      <alignment horizontal="center"/>
    </xf>
    <xf numFmtId="0" fontId="6" fillId="0" borderId="10" xfId="0" applyFont="1" applyBorder="1"/>
    <xf numFmtId="164" fontId="7" fillId="4" borderId="13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/>
    <xf numFmtId="166" fontId="14" fillId="0" borderId="18" xfId="0" applyNumberFormat="1" applyFont="1" applyBorder="1" applyAlignment="1">
      <alignment horizontal="center"/>
    </xf>
    <xf numFmtId="166" fontId="19" fillId="0" borderId="11" xfId="0" applyNumberFormat="1" applyFont="1" applyBorder="1"/>
    <xf numFmtId="169" fontId="14" fillId="0" borderId="18" xfId="0" applyNumberFormat="1" applyFont="1" applyBorder="1" applyAlignment="1">
      <alignment horizontal="center"/>
    </xf>
    <xf numFmtId="169" fontId="7" fillId="4" borderId="11" xfId="0" applyNumberFormat="1" applyFont="1" applyFill="1" applyBorder="1" applyAlignment="1">
      <alignment horizontal="center"/>
    </xf>
    <xf numFmtId="169" fontId="21" fillId="6" borderId="10" xfId="0" applyNumberFormat="1" applyFont="1" applyFill="1" applyBorder="1"/>
    <xf numFmtId="169" fontId="23" fillId="6" borderId="10" xfId="0" applyNumberFormat="1" applyFont="1" applyFill="1" applyBorder="1"/>
    <xf numFmtId="169" fontId="17" fillId="6" borderId="10" xfId="0" applyNumberFormat="1" applyFont="1" applyFill="1" applyBorder="1" applyAlignment="1">
      <alignment wrapText="1"/>
    </xf>
    <xf numFmtId="169" fontId="19" fillId="6" borderId="10" xfId="0" applyNumberFormat="1" applyFont="1" applyFill="1" applyBorder="1"/>
    <xf numFmtId="169" fontId="19" fillId="5" borderId="27" xfId="0" applyNumberFormat="1" applyFont="1" applyFill="1" applyBorder="1"/>
    <xf numFmtId="169" fontId="19" fillId="3" borderId="18" xfId="0" applyNumberFormat="1" applyFont="1" applyFill="1" applyBorder="1"/>
    <xf numFmtId="166" fontId="15" fillId="0" borderId="18" xfId="0" applyNumberFormat="1" applyFont="1" applyBorder="1" applyAlignment="1">
      <alignment horizontal="center"/>
    </xf>
    <xf numFmtId="166" fontId="17" fillId="4" borderId="176" xfId="0" applyNumberFormat="1" applyFont="1" applyFill="1" applyBorder="1" applyAlignment="1">
      <alignment vertical="center"/>
    </xf>
    <xf numFmtId="166" fontId="17" fillId="4" borderId="56" xfId="0" applyNumberFormat="1" applyFont="1" applyFill="1" applyBorder="1" applyAlignment="1">
      <alignment horizontal="center" vertical="center"/>
    </xf>
    <xf numFmtId="166" fontId="17" fillId="4" borderId="0" xfId="0" applyNumberFormat="1" applyFont="1" applyFill="1" applyAlignment="1">
      <alignment horizontal="center" vertical="center"/>
    </xf>
    <xf numFmtId="9" fontId="16" fillId="2" borderId="33" xfId="0" applyNumberFormat="1" applyFont="1" applyFill="1" applyBorder="1" applyAlignment="1">
      <alignment vertical="center"/>
    </xf>
    <xf numFmtId="165" fontId="16" fillId="3" borderId="21" xfId="0" applyNumberFormat="1" applyFont="1" applyFill="1" applyBorder="1" applyAlignment="1">
      <alignment vertical="center"/>
    </xf>
    <xf numFmtId="165" fontId="19" fillId="3" borderId="17" xfId="0" applyNumberFormat="1" applyFont="1" applyFill="1" applyBorder="1" applyAlignment="1">
      <alignment vertical="center"/>
    </xf>
    <xf numFmtId="9" fontId="19" fillId="3" borderId="17" xfId="0" applyNumberFormat="1" applyFont="1" applyFill="1" applyBorder="1" applyAlignment="1">
      <alignment vertical="center"/>
    </xf>
    <xf numFmtId="9" fontId="23" fillId="3" borderId="17" xfId="0" applyNumberFormat="1" applyFont="1" applyFill="1" applyBorder="1" applyAlignment="1">
      <alignment horizontal="right" vertical="center"/>
    </xf>
    <xf numFmtId="165" fontId="19" fillId="3" borderId="23" xfId="0" applyNumberFormat="1" applyFont="1" applyFill="1" applyBorder="1" applyAlignment="1">
      <alignment vertical="center"/>
    </xf>
    <xf numFmtId="165" fontId="19" fillId="3" borderId="103" xfId="0" applyNumberFormat="1" applyFont="1" applyFill="1" applyBorder="1" applyAlignment="1">
      <alignment vertical="center"/>
    </xf>
    <xf numFmtId="10" fontId="21" fillId="4" borderId="132" xfId="0" applyNumberFormat="1" applyFont="1" applyFill="1" applyBorder="1" applyAlignment="1">
      <alignment horizontal="right" vertical="center"/>
    </xf>
    <xf numFmtId="165" fontId="16" fillId="3" borderId="17" xfId="0" applyNumberFormat="1" applyFont="1" applyFill="1" applyBorder="1" applyAlignment="1">
      <alignment vertical="center"/>
    </xf>
    <xf numFmtId="165" fontId="27" fillId="3" borderId="17" xfId="0" applyNumberFormat="1" applyFont="1" applyFill="1" applyBorder="1" applyAlignment="1">
      <alignment horizontal="center" vertical="center"/>
    </xf>
    <xf numFmtId="15" fontId="27" fillId="3" borderId="17" xfId="0" applyNumberFormat="1" applyFont="1" applyFill="1" applyBorder="1" applyAlignment="1">
      <alignment horizontal="center" vertical="center"/>
    </xf>
    <xf numFmtId="15" fontId="27" fillId="0" borderId="17" xfId="0" applyNumberFormat="1" applyFont="1" applyBorder="1" applyAlignment="1">
      <alignment horizontal="center" vertical="center"/>
    </xf>
    <xf numFmtId="9" fontId="16" fillId="3" borderId="104" xfId="0" applyNumberFormat="1" applyFont="1" applyFill="1" applyBorder="1" applyAlignment="1">
      <alignment vertical="center"/>
    </xf>
    <xf numFmtId="9" fontId="16" fillId="3" borderId="17" xfId="0" applyNumberFormat="1" applyFont="1" applyFill="1" applyBorder="1" applyAlignment="1">
      <alignment vertical="center"/>
    </xf>
    <xf numFmtId="0" fontId="19" fillId="0" borderId="17" xfId="0" applyFont="1" applyBorder="1"/>
    <xf numFmtId="15" fontId="17" fillId="0" borderId="11" xfId="0" applyNumberFormat="1" applyFont="1" applyBorder="1" applyAlignment="1">
      <alignment horizontal="left" vertical="center" wrapText="1"/>
    </xf>
    <xf numFmtId="164" fontId="19" fillId="2" borderId="104" xfId="0" applyNumberFormat="1" applyFont="1" applyFill="1" applyBorder="1" applyAlignment="1">
      <alignment vertical="center" wrapText="1"/>
    </xf>
    <xf numFmtId="164" fontId="0" fillId="2" borderId="101" xfId="0" applyNumberFormat="1" applyFill="1" applyBorder="1" applyAlignment="1">
      <alignment vertical="center"/>
    </xf>
    <xf numFmtId="164" fontId="19" fillId="2" borderId="101" xfId="0" applyNumberFormat="1" applyFont="1" applyFill="1" applyBorder="1" applyAlignment="1">
      <alignment vertical="center" wrapText="1"/>
    </xf>
    <xf numFmtId="49" fontId="19" fillId="2" borderId="101" xfId="0" applyNumberFormat="1" applyFont="1" applyFill="1" applyBorder="1" applyAlignment="1">
      <alignment vertical="center" wrapText="1"/>
    </xf>
    <xf numFmtId="164" fontId="0" fillId="2" borderId="101" xfId="0" applyNumberFormat="1" applyFill="1" applyBorder="1" applyAlignment="1">
      <alignment vertical="center" wrapText="1"/>
    </xf>
    <xf numFmtId="165" fontId="19" fillId="2" borderId="101" xfId="0" applyNumberFormat="1" applyFont="1" applyFill="1" applyBorder="1" applyAlignment="1">
      <alignment vertical="center" wrapText="1"/>
    </xf>
    <xf numFmtId="49" fontId="0" fillId="2" borderId="101" xfId="0" applyNumberFormat="1" applyFill="1" applyBorder="1" applyAlignment="1">
      <alignment vertical="center" wrapText="1"/>
    </xf>
    <xf numFmtId="49" fontId="23" fillId="2" borderId="101" xfId="0" applyNumberFormat="1" applyFont="1" applyFill="1" applyBorder="1" applyAlignment="1">
      <alignment horizontal="justify" vertical="center" wrapText="1"/>
    </xf>
    <xf numFmtId="49" fontId="3" fillId="2" borderId="101" xfId="0" applyNumberFormat="1" applyFont="1" applyFill="1" applyBorder="1" applyAlignment="1">
      <alignment horizontal="justify" vertical="center" wrapText="1"/>
    </xf>
    <xf numFmtId="164" fontId="0" fillId="2" borderId="11" xfId="0" applyNumberFormat="1" applyFill="1" applyBorder="1" applyAlignment="1">
      <alignment vertical="center" wrapText="1"/>
    </xf>
    <xf numFmtId="164" fontId="19" fillId="2" borderId="179" xfId="0" applyNumberFormat="1" applyFont="1" applyFill="1" applyBorder="1" applyAlignment="1">
      <alignment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22" xfId="0" applyNumberFormat="1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/>
    <xf numFmtId="164" fontId="17" fillId="4" borderId="92" xfId="0" applyNumberFormat="1" applyFont="1" applyFill="1" applyBorder="1"/>
    <xf numFmtId="49" fontId="17" fillId="2" borderId="91" xfId="0" applyNumberFormat="1" applyFont="1" applyFill="1" applyBorder="1"/>
    <xf numFmtId="49" fontId="23" fillId="2" borderId="79" xfId="0" applyNumberFormat="1" applyFont="1" applyFill="1" applyBorder="1"/>
    <xf numFmtId="49" fontId="17" fillId="4" borderId="89" xfId="0" applyNumberFormat="1" applyFont="1" applyFill="1" applyBorder="1"/>
    <xf numFmtId="164" fontId="23" fillId="2" borderId="74" xfId="0" applyNumberFormat="1" applyFont="1" applyFill="1" applyBorder="1"/>
    <xf numFmtId="49" fontId="19" fillId="2" borderId="79" xfId="0" applyNumberFormat="1" applyFont="1" applyFill="1" applyBorder="1"/>
    <xf numFmtId="164" fontId="16" fillId="2" borderId="74" xfId="0" applyNumberFormat="1" applyFont="1" applyFill="1" applyBorder="1"/>
    <xf numFmtId="164" fontId="24" fillId="2" borderId="79" xfId="0" applyNumberFormat="1" applyFont="1" applyFill="1" applyBorder="1"/>
    <xf numFmtId="164" fontId="24" fillId="2" borderId="74" xfId="0" applyNumberFormat="1" applyFont="1" applyFill="1" applyBorder="1"/>
    <xf numFmtId="164" fontId="21" fillId="2" borderId="74" xfId="0" applyNumberFormat="1" applyFont="1" applyFill="1" applyBorder="1"/>
    <xf numFmtId="164" fontId="19" fillId="2" borderId="79" xfId="0" applyNumberFormat="1" applyFont="1" applyFill="1" applyBorder="1"/>
    <xf numFmtId="164" fontId="21" fillId="2" borderId="89" xfId="0" applyNumberFormat="1" applyFont="1" applyFill="1" applyBorder="1"/>
    <xf numFmtId="49" fontId="17" fillId="4" borderId="87" xfId="0" applyNumberFormat="1" applyFont="1" applyFill="1" applyBorder="1" applyAlignment="1">
      <alignment wrapText="1"/>
    </xf>
    <xf numFmtId="166" fontId="16" fillId="3" borderId="180" xfId="0" applyNumberFormat="1" applyFont="1" applyFill="1" applyBorder="1"/>
    <xf numFmtId="169" fontId="17" fillId="4" borderId="108" xfId="0" applyNumberFormat="1" applyFont="1" applyFill="1" applyBorder="1" applyAlignment="1">
      <alignment horizontal="center" vertical="center"/>
    </xf>
    <xf numFmtId="169" fontId="17" fillId="4" borderId="56" xfId="0" applyNumberFormat="1" applyFont="1" applyFill="1" applyBorder="1" applyAlignment="1">
      <alignment horizontal="center" vertical="center"/>
    </xf>
    <xf numFmtId="169" fontId="17" fillId="4" borderId="0" xfId="0" applyNumberFormat="1" applyFont="1" applyFill="1" applyAlignment="1">
      <alignment horizontal="center" vertical="center"/>
    </xf>
    <xf numFmtId="169" fontId="17" fillId="0" borderId="56" xfId="0" applyNumberFormat="1" applyFont="1" applyBorder="1" applyAlignment="1">
      <alignment horizontal="center" vertical="center"/>
    </xf>
    <xf numFmtId="165" fontId="16" fillId="2" borderId="34" xfId="0" applyNumberFormat="1" applyFont="1" applyFill="1" applyBorder="1" applyAlignment="1">
      <alignment vertical="center"/>
    </xf>
    <xf numFmtId="9" fontId="17" fillId="4" borderId="0" xfId="2" applyFont="1" applyFill="1" applyBorder="1" applyAlignment="1">
      <alignment horizontal="center" vertical="center"/>
    </xf>
    <xf numFmtId="9" fontId="17" fillId="4" borderId="81" xfId="2" applyFont="1" applyFill="1" applyBorder="1" applyAlignment="1">
      <alignment horizontal="right" vertical="center"/>
    </xf>
    <xf numFmtId="9" fontId="23" fillId="5" borderId="49" xfId="2" applyFont="1" applyFill="1" applyBorder="1" applyAlignment="1">
      <alignment horizontal="right" vertical="center"/>
    </xf>
    <xf numFmtId="9" fontId="23" fillId="5" borderId="55" xfId="2" applyFont="1" applyFill="1" applyBorder="1" applyAlignment="1">
      <alignment horizontal="right" vertical="center"/>
    </xf>
    <xf numFmtId="9" fontId="23" fillId="5" borderId="81" xfId="2" applyFont="1" applyFill="1" applyBorder="1" applyAlignment="1">
      <alignment horizontal="right" vertical="center"/>
    </xf>
    <xf numFmtId="9" fontId="21" fillId="4" borderId="98" xfId="2" applyFont="1" applyFill="1" applyBorder="1" applyAlignment="1">
      <alignment horizontal="right" vertical="center"/>
    </xf>
    <xf numFmtId="9" fontId="16" fillId="5" borderId="49" xfId="2" applyFont="1" applyFill="1" applyBorder="1" applyAlignment="1">
      <alignment vertical="center"/>
    </xf>
    <xf numFmtId="9" fontId="19" fillId="5" borderId="55" xfId="2" applyFont="1" applyFill="1" applyBorder="1" applyAlignment="1">
      <alignment vertical="center"/>
    </xf>
    <xf numFmtId="9" fontId="19" fillId="5" borderId="49" xfId="2" applyFont="1" applyFill="1" applyBorder="1" applyAlignment="1">
      <alignment vertical="center"/>
    </xf>
    <xf numFmtId="9" fontId="16" fillId="5" borderId="55" xfId="2" applyFont="1" applyFill="1" applyBorder="1" applyAlignment="1">
      <alignment vertical="center"/>
    </xf>
    <xf numFmtId="9" fontId="21" fillId="4" borderId="98" xfId="0" applyNumberFormat="1" applyFont="1" applyFill="1" applyBorder="1" applyAlignment="1">
      <alignment horizontal="right" vertical="center"/>
    </xf>
    <xf numFmtId="9" fontId="23" fillId="5" borderId="98" xfId="0" applyNumberFormat="1" applyFont="1" applyFill="1" applyBorder="1" applyAlignment="1">
      <alignment horizontal="right" vertical="center"/>
    </xf>
    <xf numFmtId="165" fontId="16" fillId="5" borderId="98" xfId="0" applyNumberFormat="1" applyFont="1" applyFill="1" applyBorder="1" applyAlignment="1">
      <alignment vertical="center"/>
    </xf>
    <xf numFmtId="49" fontId="23" fillId="5" borderId="55" xfId="0" applyNumberFormat="1" applyFont="1" applyFill="1" applyBorder="1" applyAlignment="1">
      <alignment horizontal="right" vertical="center"/>
    </xf>
    <xf numFmtId="9" fontId="21" fillId="4" borderId="118" xfId="0" applyNumberFormat="1" applyFont="1" applyFill="1" applyBorder="1" applyAlignment="1">
      <alignment horizontal="right" vertical="center"/>
    </xf>
    <xf numFmtId="169" fontId="17" fillId="0" borderId="108" xfId="0" applyNumberFormat="1" applyFont="1" applyBorder="1" applyAlignment="1">
      <alignment horizontal="center" vertical="center"/>
    </xf>
    <xf numFmtId="166" fontId="19" fillId="5" borderId="74" xfId="0" applyNumberFormat="1" applyFont="1" applyFill="1" applyBorder="1" applyAlignment="1">
      <alignment vertical="center"/>
    </xf>
    <xf numFmtId="166" fontId="16" fillId="5" borderId="17" xfId="0" applyNumberFormat="1" applyFont="1" applyFill="1" applyBorder="1" applyAlignment="1">
      <alignment vertical="center"/>
    </xf>
    <xf numFmtId="166" fontId="17" fillId="4" borderId="73" xfId="0" applyNumberFormat="1" applyFont="1" applyFill="1" applyBorder="1" applyAlignment="1">
      <alignment vertical="center"/>
    </xf>
    <xf numFmtId="166" fontId="16" fillId="2" borderId="120" xfId="0" applyNumberFormat="1" applyFont="1" applyFill="1" applyBorder="1" applyAlignment="1">
      <alignment vertical="center"/>
    </xf>
    <xf numFmtId="166" fontId="17" fillId="4" borderId="181" xfId="0" applyNumberFormat="1" applyFont="1" applyFill="1" applyBorder="1" applyAlignment="1">
      <alignment vertical="center"/>
    </xf>
    <xf numFmtId="166" fontId="19" fillId="5" borderId="43" xfId="0" applyNumberFormat="1" applyFont="1" applyFill="1" applyBorder="1" applyAlignment="1">
      <alignment vertical="center"/>
    </xf>
    <xf numFmtId="166" fontId="16" fillId="5" borderId="50" xfId="0" applyNumberFormat="1" applyFont="1" applyFill="1" applyBorder="1" applyAlignment="1">
      <alignment vertical="center"/>
    </xf>
    <xf numFmtId="166" fontId="17" fillId="4" borderId="170" xfId="0" applyNumberFormat="1" applyFont="1" applyFill="1" applyBorder="1" applyAlignment="1">
      <alignment vertical="center"/>
    </xf>
    <xf numFmtId="166" fontId="16" fillId="5" borderId="170" xfId="0" applyNumberFormat="1" applyFont="1" applyFill="1" applyBorder="1" applyAlignment="1">
      <alignment vertical="center"/>
    </xf>
    <xf numFmtId="166" fontId="19" fillId="5" borderId="57" xfId="0" applyNumberFormat="1" applyFont="1" applyFill="1" applyBorder="1" applyAlignment="1">
      <alignment vertical="center"/>
    </xf>
    <xf numFmtId="9" fontId="16" fillId="3" borderId="101" xfId="0" applyNumberFormat="1" applyFont="1" applyFill="1" applyBorder="1" applyAlignment="1">
      <alignment vertical="center"/>
    </xf>
    <xf numFmtId="165" fontId="19" fillId="3" borderId="101" xfId="0" applyNumberFormat="1" applyFont="1" applyFill="1" applyBorder="1" applyAlignment="1">
      <alignment vertical="center"/>
    </xf>
    <xf numFmtId="9" fontId="16" fillId="4" borderId="164" xfId="2" applyFont="1" applyFill="1" applyBorder="1" applyAlignment="1">
      <alignment horizontal="right" vertical="center"/>
    </xf>
    <xf numFmtId="164" fontId="26" fillId="3" borderId="21" xfId="0" applyNumberFormat="1" applyFont="1" applyFill="1" applyBorder="1" applyAlignment="1">
      <alignment horizontal="center" vertical="center" wrapText="1"/>
    </xf>
    <xf numFmtId="164" fontId="26" fillId="3" borderId="22" xfId="0" applyNumberFormat="1" applyFont="1" applyFill="1" applyBorder="1" applyAlignment="1">
      <alignment horizontal="center" vertical="center" wrapText="1"/>
    </xf>
    <xf numFmtId="164" fontId="26" fillId="3" borderId="23" xfId="0" applyNumberFormat="1" applyFont="1" applyFill="1" applyBorder="1" applyAlignment="1">
      <alignment horizontal="center" vertical="center" wrapText="1"/>
    </xf>
    <xf numFmtId="9" fontId="16" fillId="3" borderId="182" xfId="0" applyNumberFormat="1" applyFont="1" applyFill="1" applyBorder="1" applyAlignment="1">
      <alignment vertical="center"/>
    </xf>
    <xf numFmtId="9" fontId="16" fillId="3" borderId="25" xfId="0" applyNumberFormat="1" applyFont="1" applyFill="1" applyBorder="1" applyAlignment="1">
      <alignment vertical="center"/>
    </xf>
    <xf numFmtId="9" fontId="16" fillId="3" borderId="26" xfId="0" applyNumberFormat="1" applyFont="1" applyFill="1" applyBorder="1" applyAlignment="1">
      <alignment vertical="center"/>
    </xf>
    <xf numFmtId="9" fontId="17" fillId="4" borderId="164" xfId="2" applyFont="1" applyFill="1" applyBorder="1" applyAlignment="1">
      <alignment horizontal="right" vertical="center"/>
    </xf>
    <xf numFmtId="165" fontId="16" fillId="2" borderId="98" xfId="0" applyNumberFormat="1" applyFont="1" applyFill="1" applyBorder="1" applyAlignment="1">
      <alignment vertical="center"/>
    </xf>
    <xf numFmtId="166" fontId="17" fillId="4" borderId="73" xfId="0" applyNumberFormat="1" applyFont="1" applyFill="1" applyBorder="1" applyAlignment="1">
      <alignment horizontal="center" vertical="center" wrapText="1"/>
    </xf>
    <xf numFmtId="166" fontId="16" fillId="4" borderId="176" xfId="0" applyNumberFormat="1" applyFont="1" applyFill="1" applyBorder="1" applyAlignment="1">
      <alignment vertical="center"/>
    </xf>
    <xf numFmtId="166" fontId="19" fillId="2" borderId="83" xfId="0" applyNumberFormat="1" applyFont="1" applyFill="1" applyBorder="1" applyAlignment="1">
      <alignment vertical="center"/>
    </xf>
    <xf numFmtId="166" fontId="16" fillId="4" borderId="121" xfId="0" applyNumberFormat="1" applyFont="1" applyFill="1" applyBorder="1" applyAlignment="1">
      <alignment vertical="center"/>
    </xf>
    <xf numFmtId="166" fontId="16" fillId="3" borderId="101" xfId="0" applyNumberFormat="1" applyFont="1" applyFill="1" applyBorder="1" applyAlignment="1">
      <alignment vertical="center"/>
    </xf>
    <xf numFmtId="164" fontId="17" fillId="4" borderId="21" xfId="0" applyNumberFormat="1" applyFont="1" applyFill="1" applyBorder="1" applyAlignment="1">
      <alignment vertical="center"/>
    </xf>
    <xf numFmtId="49" fontId="17" fillId="4" borderId="17" xfId="0" applyNumberFormat="1" applyFont="1" applyFill="1" applyBorder="1" applyAlignment="1">
      <alignment vertical="center"/>
    </xf>
    <xf numFmtId="164" fontId="21" fillId="4" borderId="17" xfId="0" applyNumberFormat="1" applyFont="1" applyFill="1" applyBorder="1" applyAlignment="1">
      <alignment vertical="center"/>
    </xf>
    <xf numFmtId="164" fontId="21" fillId="0" borderId="17" xfId="0" applyNumberFormat="1" applyFont="1" applyBorder="1" applyAlignment="1">
      <alignment vertical="center"/>
    </xf>
    <xf numFmtId="15" fontId="17" fillId="0" borderId="24" xfId="0" applyNumberFormat="1" applyFont="1" applyBorder="1" applyAlignment="1">
      <alignment horizontal="left" vertical="center" wrapText="1"/>
    </xf>
    <xf numFmtId="49" fontId="17" fillId="2" borderId="17" xfId="0" applyNumberFormat="1" applyFont="1" applyFill="1" applyBorder="1" applyAlignment="1">
      <alignment vertical="center"/>
    </xf>
    <xf numFmtId="164" fontId="19" fillId="2" borderId="183" xfId="0" applyNumberFormat="1" applyFont="1" applyFill="1" applyBorder="1" applyAlignment="1">
      <alignment vertical="center" wrapText="1"/>
    </xf>
    <xf numFmtId="49" fontId="19" fillId="2" borderId="183" xfId="0" applyNumberFormat="1" applyFont="1" applyFill="1" applyBorder="1" applyAlignment="1">
      <alignment vertical="center" wrapText="1"/>
    </xf>
    <xf numFmtId="164" fontId="0" fillId="2" borderId="24" xfId="0" applyNumberFormat="1" applyFill="1" applyBorder="1" applyAlignment="1">
      <alignment vertical="center" wrapText="1"/>
    </xf>
    <xf numFmtId="49" fontId="21" fillId="2" borderId="17" xfId="0" applyNumberFormat="1" applyFont="1" applyFill="1" applyBorder="1" applyAlignment="1">
      <alignment vertical="center"/>
    </xf>
    <xf numFmtId="49" fontId="17" fillId="4" borderId="182" xfId="0" applyNumberFormat="1" applyFont="1" applyFill="1" applyBorder="1" applyAlignment="1">
      <alignment vertical="center"/>
    </xf>
    <xf numFmtId="165" fontId="19" fillId="2" borderId="183" xfId="0" applyNumberFormat="1" applyFont="1" applyFill="1" applyBorder="1" applyAlignment="1">
      <alignment vertical="center" wrapText="1"/>
    </xf>
    <xf numFmtId="164" fontId="16" fillId="2" borderId="17" xfId="0" applyNumberFormat="1" applyFont="1" applyFill="1" applyBorder="1" applyAlignment="1">
      <alignment vertical="center"/>
    </xf>
    <xf numFmtId="164" fontId="27" fillId="2" borderId="79" xfId="0" applyNumberFormat="1" applyFont="1" applyFill="1" applyBorder="1" applyAlignment="1">
      <alignment vertical="center"/>
    </xf>
    <xf numFmtId="49" fontId="17" fillId="4" borderId="89" xfId="0" applyNumberFormat="1" applyFont="1" applyFill="1" applyBorder="1" applyAlignment="1">
      <alignment vertical="center"/>
    </xf>
    <xf numFmtId="164" fontId="19" fillId="2" borderId="74" xfId="0" applyNumberFormat="1" applyFont="1" applyFill="1" applyBorder="1" applyAlignment="1">
      <alignment vertical="center"/>
    </xf>
    <xf numFmtId="49" fontId="0" fillId="2" borderId="183" xfId="0" applyNumberFormat="1" applyFill="1" applyBorder="1" applyAlignment="1">
      <alignment vertical="center" wrapText="1"/>
    </xf>
    <xf numFmtId="49" fontId="19" fillId="2" borderId="79" xfId="0" applyNumberFormat="1" applyFont="1" applyFill="1" applyBorder="1" applyAlignment="1">
      <alignment vertical="center"/>
    </xf>
    <xf numFmtId="164" fontId="0" fillId="2" borderId="183" xfId="0" applyNumberFormat="1" applyFill="1" applyBorder="1" applyAlignment="1">
      <alignment vertical="center" wrapText="1"/>
    </xf>
    <xf numFmtId="49" fontId="23" fillId="2" borderId="183" xfId="0" applyNumberFormat="1" applyFont="1" applyFill="1" applyBorder="1" applyAlignment="1">
      <alignment horizontal="justify" vertical="center" wrapText="1"/>
    </xf>
    <xf numFmtId="49" fontId="28" fillId="2" borderId="17" xfId="0" applyNumberFormat="1" applyFont="1" applyFill="1" applyBorder="1" applyAlignment="1">
      <alignment vertical="center"/>
    </xf>
    <xf numFmtId="164" fontId="19" fillId="2" borderId="17" xfId="0" applyNumberFormat="1" applyFont="1" applyFill="1" applyBorder="1" applyAlignment="1">
      <alignment vertical="center"/>
    </xf>
    <xf numFmtId="164" fontId="27" fillId="2" borderId="89" xfId="0" applyNumberFormat="1" applyFont="1" applyFill="1" applyBorder="1" applyAlignment="1">
      <alignment vertical="center"/>
    </xf>
    <xf numFmtId="49" fontId="17" fillId="4" borderId="87" xfId="0" applyNumberFormat="1" applyFont="1" applyFill="1" applyBorder="1" applyAlignment="1">
      <alignment vertical="center"/>
    </xf>
    <xf numFmtId="9" fontId="17" fillId="4" borderId="0" xfId="0" applyNumberFormat="1" applyFont="1" applyFill="1" applyAlignment="1">
      <alignment horizontal="center" vertical="center"/>
    </xf>
    <xf numFmtId="9" fontId="21" fillId="4" borderId="164" xfId="0" applyNumberFormat="1" applyFont="1" applyFill="1" applyBorder="1" applyAlignment="1">
      <alignment horizontal="right" vertical="center"/>
    </xf>
    <xf numFmtId="9" fontId="19" fillId="2" borderId="55" xfId="0" applyNumberFormat="1" applyFont="1" applyFill="1" applyBorder="1" applyAlignment="1">
      <alignment vertical="center"/>
    </xf>
    <xf numFmtId="9" fontId="23" fillId="2" borderId="55" xfId="0" applyNumberFormat="1" applyFont="1" applyFill="1" applyBorder="1" applyAlignment="1">
      <alignment horizontal="right" vertical="center"/>
    </xf>
    <xf numFmtId="9" fontId="16" fillId="2" borderId="81" xfId="0" applyNumberFormat="1" applyFont="1" applyFill="1" applyBorder="1" applyAlignment="1">
      <alignment vertical="center"/>
    </xf>
    <xf numFmtId="9" fontId="16" fillId="2" borderId="49" xfId="0" applyNumberFormat="1" applyFont="1" applyFill="1" applyBorder="1" applyAlignment="1">
      <alignment vertical="center"/>
    </xf>
    <xf numFmtId="9" fontId="16" fillId="2" borderId="55" xfId="0" applyNumberFormat="1" applyFont="1" applyFill="1" applyBorder="1" applyAlignment="1">
      <alignment vertical="center"/>
    </xf>
    <xf numFmtId="166" fontId="17" fillId="4" borderId="126" xfId="0" applyNumberFormat="1" applyFont="1" applyFill="1" applyBorder="1" applyAlignment="1">
      <alignment horizontal="center" vertical="center"/>
    </xf>
    <xf numFmtId="166" fontId="17" fillId="4" borderId="133" xfId="0" applyNumberFormat="1" applyFont="1" applyFill="1" applyBorder="1" applyAlignment="1">
      <alignment vertical="center"/>
    </xf>
    <xf numFmtId="166" fontId="16" fillId="5" borderId="31" xfId="0" applyNumberFormat="1" applyFont="1" applyFill="1" applyBorder="1" applyAlignment="1">
      <alignment vertical="center"/>
    </xf>
    <xf numFmtId="166" fontId="16" fillId="5" borderId="36" xfId="0" applyNumberFormat="1" applyFont="1" applyFill="1" applyBorder="1" applyAlignment="1">
      <alignment vertical="center"/>
    </xf>
    <xf numFmtId="166" fontId="16" fillId="5" borderId="34" xfId="0" applyNumberFormat="1" applyFont="1" applyFill="1" applyBorder="1" applyAlignment="1">
      <alignment vertical="center"/>
    </xf>
    <xf numFmtId="166" fontId="17" fillId="4" borderId="180" xfId="0" applyNumberFormat="1" applyFont="1" applyFill="1" applyBorder="1" applyAlignment="1">
      <alignment vertical="center"/>
    </xf>
    <xf numFmtId="166" fontId="16" fillId="5" borderId="80" xfId="0" applyNumberFormat="1" applyFont="1" applyFill="1" applyBorder="1" applyAlignment="1">
      <alignment vertical="center"/>
    </xf>
    <xf numFmtId="166" fontId="16" fillId="5" borderId="75" xfId="0" applyNumberFormat="1" applyFont="1" applyFill="1" applyBorder="1" applyAlignment="1">
      <alignment vertical="center"/>
    </xf>
    <xf numFmtId="9" fontId="19" fillId="3" borderId="101" xfId="0" applyNumberFormat="1" applyFont="1" applyFill="1" applyBorder="1" applyAlignment="1">
      <alignment vertical="center"/>
    </xf>
    <xf numFmtId="9" fontId="19" fillId="3" borderId="133" xfId="0" applyNumberFormat="1" applyFont="1" applyFill="1" applyBorder="1" applyAlignment="1">
      <alignment vertical="center"/>
    </xf>
    <xf numFmtId="166" fontId="19" fillId="3" borderId="133" xfId="0" applyNumberFormat="1" applyFont="1" applyFill="1" applyBorder="1" applyAlignment="1">
      <alignment vertical="center"/>
    </xf>
    <xf numFmtId="166" fontId="16" fillId="2" borderId="74" xfId="0" applyNumberFormat="1" applyFont="1" applyFill="1" applyBorder="1" applyAlignment="1">
      <alignment vertical="center"/>
    </xf>
    <xf numFmtId="166" fontId="17" fillId="4" borderId="182" xfId="0" applyNumberFormat="1" applyFont="1" applyFill="1" applyBorder="1" applyAlignment="1">
      <alignment vertical="center"/>
    </xf>
    <xf numFmtId="166" fontId="17" fillId="4" borderId="159" xfId="0" applyNumberFormat="1" applyFont="1" applyFill="1" applyBorder="1" applyAlignment="1">
      <alignment vertical="center"/>
    </xf>
    <xf numFmtId="166" fontId="16" fillId="2" borderId="43" xfId="0" applyNumberFormat="1" applyFont="1" applyFill="1" applyBorder="1" applyAlignment="1">
      <alignment vertical="center"/>
    </xf>
    <xf numFmtId="9" fontId="16" fillId="2" borderId="34" xfId="0" applyNumberFormat="1" applyFont="1" applyFill="1" applyBorder="1" applyAlignment="1">
      <alignment vertical="center"/>
    </xf>
    <xf numFmtId="9" fontId="21" fillId="4" borderId="34" xfId="0" applyNumberFormat="1" applyFont="1" applyFill="1" applyBorder="1" applyAlignment="1">
      <alignment horizontal="right" vertical="center"/>
    </xf>
    <xf numFmtId="9" fontId="16" fillId="2" borderId="36" xfId="0" applyNumberFormat="1" applyFont="1" applyFill="1" applyBorder="1" applyAlignment="1">
      <alignment vertical="center"/>
    </xf>
    <xf numFmtId="9" fontId="23" fillId="2" borderId="133" xfId="0" applyNumberFormat="1" applyFont="1" applyFill="1" applyBorder="1" applyAlignment="1">
      <alignment horizontal="right" vertical="center"/>
    </xf>
    <xf numFmtId="9" fontId="23" fillId="2" borderId="0" xfId="0" applyNumberFormat="1" applyFont="1" applyFill="1" applyAlignment="1">
      <alignment horizontal="right" vertical="center"/>
    </xf>
    <xf numFmtId="166" fontId="16" fillId="2" borderId="186" xfId="0" applyNumberFormat="1" applyFont="1" applyFill="1" applyBorder="1" applyAlignment="1">
      <alignment vertical="center"/>
    </xf>
    <xf numFmtId="9" fontId="21" fillId="4" borderId="88" xfId="0" applyNumberFormat="1" applyFont="1" applyFill="1" applyBorder="1" applyAlignment="1">
      <alignment horizontal="right" vertical="center"/>
    </xf>
    <xf numFmtId="165" fontId="16" fillId="5" borderId="88" xfId="0" applyNumberFormat="1" applyFont="1" applyFill="1" applyBorder="1" applyAlignment="1">
      <alignment vertical="center"/>
    </xf>
    <xf numFmtId="166" fontId="17" fillId="4" borderId="186" xfId="0" applyNumberFormat="1" applyFont="1" applyFill="1" applyBorder="1" applyAlignment="1">
      <alignment vertical="center"/>
    </xf>
    <xf numFmtId="166" fontId="16" fillId="2" borderId="185" xfId="0" applyNumberFormat="1" applyFont="1" applyFill="1" applyBorder="1" applyAlignment="1">
      <alignment vertical="center"/>
    </xf>
    <xf numFmtId="9" fontId="19" fillId="5" borderId="55" xfId="0" applyNumberFormat="1" applyFont="1" applyFill="1" applyBorder="1" applyAlignment="1">
      <alignment vertical="center"/>
    </xf>
    <xf numFmtId="9" fontId="23" fillId="5" borderId="55" xfId="0" applyNumberFormat="1" applyFont="1" applyFill="1" applyBorder="1" applyAlignment="1">
      <alignment horizontal="right" vertical="center"/>
    </xf>
    <xf numFmtId="9" fontId="19" fillId="5" borderId="81" xfId="0" applyNumberFormat="1" applyFont="1" applyFill="1" applyBorder="1" applyAlignment="1">
      <alignment vertical="center"/>
    </xf>
    <xf numFmtId="9" fontId="16" fillId="5" borderId="49" xfId="0" applyNumberFormat="1" applyFont="1" applyFill="1" applyBorder="1" applyAlignment="1">
      <alignment vertical="center"/>
    </xf>
    <xf numFmtId="9" fontId="16" fillId="5" borderId="55" xfId="0" applyNumberFormat="1" applyFont="1" applyFill="1" applyBorder="1" applyAlignment="1">
      <alignment vertical="center"/>
    </xf>
    <xf numFmtId="165" fontId="16" fillId="5" borderId="34" xfId="0" applyNumberFormat="1" applyFont="1" applyFill="1" applyBorder="1" applyAlignment="1">
      <alignment vertical="center"/>
    </xf>
    <xf numFmtId="9" fontId="23" fillId="2" borderId="0" xfId="2" applyFont="1" applyFill="1" applyBorder="1" applyAlignment="1">
      <alignment horizontal="right" vertical="center"/>
    </xf>
    <xf numFmtId="164" fontId="16" fillId="2" borderId="74" xfId="0" applyNumberFormat="1" applyFont="1" applyFill="1" applyBorder="1" applyAlignment="1">
      <alignment vertical="center"/>
    </xf>
    <xf numFmtId="166" fontId="17" fillId="4" borderId="173" xfId="0" applyNumberFormat="1" applyFont="1" applyFill="1" applyBorder="1" applyAlignment="1">
      <alignment vertical="center"/>
    </xf>
    <xf numFmtId="166" fontId="17" fillId="4" borderId="187" xfId="0" applyNumberFormat="1" applyFont="1" applyFill="1" applyBorder="1" applyAlignment="1">
      <alignment vertical="center"/>
    </xf>
    <xf numFmtId="15" fontId="32" fillId="0" borderId="11" xfId="0" applyNumberFormat="1" applyFont="1" applyBorder="1" applyAlignment="1">
      <alignment horizontal="left" vertical="center" wrapText="1"/>
    </xf>
    <xf numFmtId="164" fontId="0" fillId="2" borderId="104" xfId="0" applyNumberFormat="1" applyFill="1" applyBorder="1" applyAlignment="1">
      <alignment vertical="center" wrapText="1"/>
    </xf>
    <xf numFmtId="165" fontId="0" fillId="2" borderId="101" xfId="0" applyNumberFormat="1" applyFill="1" applyBorder="1" applyAlignment="1">
      <alignment vertical="center" wrapText="1"/>
    </xf>
    <xf numFmtId="49" fontId="0" fillId="2" borderId="138" xfId="0" applyNumberFormat="1" applyFill="1" applyBorder="1" applyAlignment="1">
      <alignment vertical="center" wrapText="1"/>
    </xf>
    <xf numFmtId="49" fontId="0" fillId="2" borderId="101" xfId="0" applyNumberFormat="1" applyFill="1" applyBorder="1" applyAlignment="1">
      <alignment vertical="center"/>
    </xf>
    <xf numFmtId="164" fontId="19" fillId="0" borderId="179" xfId="0" applyNumberFormat="1" applyFont="1" applyBorder="1" applyAlignment="1">
      <alignment vertical="center" wrapText="1"/>
    </xf>
    <xf numFmtId="166" fontId="19" fillId="2" borderId="74" xfId="0" applyNumberFormat="1" applyFont="1" applyFill="1" applyBorder="1" applyAlignment="1">
      <alignment vertical="center"/>
    </xf>
    <xf numFmtId="166" fontId="16" fillId="4" borderId="182" xfId="0" applyNumberFormat="1" applyFont="1" applyFill="1" applyBorder="1" applyAlignment="1">
      <alignment vertical="center"/>
    </xf>
    <xf numFmtId="9" fontId="16" fillId="2" borderId="44" xfId="2" applyFont="1" applyFill="1" applyBorder="1" applyAlignment="1">
      <alignment vertical="center"/>
    </xf>
    <xf numFmtId="9" fontId="23" fillId="4" borderId="183" xfId="2" applyFont="1" applyFill="1" applyBorder="1" applyAlignment="1">
      <alignment horizontal="right" vertical="center"/>
    </xf>
    <xf numFmtId="9" fontId="23" fillId="2" borderId="183" xfId="0" applyNumberFormat="1" applyFont="1" applyFill="1" applyBorder="1" applyAlignment="1">
      <alignment horizontal="right" vertical="center"/>
    </xf>
    <xf numFmtId="49" fontId="23" fillId="2" borderId="24" xfId="0" applyNumberFormat="1" applyFont="1" applyFill="1" applyBorder="1" applyAlignment="1">
      <alignment horizontal="right" vertical="center"/>
    </xf>
    <xf numFmtId="166" fontId="16" fillId="4" borderId="48" xfId="0" applyNumberFormat="1" applyFont="1" applyFill="1" applyBorder="1" applyAlignment="1">
      <alignment vertical="center"/>
    </xf>
    <xf numFmtId="166" fontId="16" fillId="4" borderId="159" xfId="0" applyNumberFormat="1" applyFont="1" applyFill="1" applyBorder="1" applyAlignment="1">
      <alignment vertical="center"/>
    </xf>
    <xf numFmtId="166" fontId="16" fillId="4" borderId="58" xfId="0" applyNumberFormat="1" applyFont="1" applyFill="1" applyBorder="1" applyAlignment="1">
      <alignment vertical="center"/>
    </xf>
    <xf numFmtId="9" fontId="19" fillId="3" borderId="182" xfId="0" applyNumberFormat="1" applyFont="1" applyFill="1" applyBorder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0" borderId="101" xfId="0" applyNumberFormat="1" applyFont="1" applyBorder="1" applyAlignment="1">
      <alignment vertical="center"/>
    </xf>
    <xf numFmtId="49" fontId="23" fillId="2" borderId="11" xfId="0" applyNumberFormat="1" applyFont="1" applyFill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49" fontId="23" fillId="0" borderId="11" xfId="0" applyNumberFormat="1" applyFont="1" applyBorder="1" applyAlignment="1">
      <alignment vertical="center"/>
    </xf>
    <xf numFmtId="164" fontId="27" fillId="2" borderId="33" xfId="0" applyNumberFormat="1" applyFont="1" applyFill="1" applyBorder="1" applyAlignment="1">
      <alignment vertical="center"/>
    </xf>
    <xf numFmtId="167" fontId="17" fillId="8" borderId="10" xfId="1" applyNumberFormat="1" applyFont="1" applyFill="1" applyBorder="1" applyAlignment="1" applyProtection="1">
      <alignment wrapText="1"/>
    </xf>
    <xf numFmtId="167" fontId="17" fillId="0" borderId="10" xfId="1" applyNumberFormat="1" applyFont="1" applyFill="1" applyBorder="1" applyAlignment="1" applyProtection="1">
      <alignment wrapText="1"/>
    </xf>
    <xf numFmtId="167" fontId="17" fillId="8" borderId="18" xfId="1" applyNumberFormat="1" applyFont="1" applyFill="1" applyBorder="1" applyAlignment="1" applyProtection="1">
      <alignment wrapText="1"/>
    </xf>
    <xf numFmtId="49" fontId="17" fillId="4" borderId="38" xfId="0" applyNumberFormat="1" applyFont="1" applyFill="1" applyBorder="1" applyAlignment="1">
      <alignment vertical="center"/>
    </xf>
    <xf numFmtId="166" fontId="17" fillId="4" borderId="160" xfId="0" applyNumberFormat="1" applyFont="1" applyFill="1" applyBorder="1" applyAlignment="1">
      <alignment vertical="center"/>
    </xf>
    <xf numFmtId="166" fontId="19" fillId="9" borderId="17" xfId="0" applyNumberFormat="1" applyFont="1" applyFill="1" applyBorder="1" applyAlignment="1">
      <alignment vertical="center"/>
    </xf>
    <xf numFmtId="166" fontId="19" fillId="9" borderId="188" xfId="0" applyNumberFormat="1" applyFont="1" applyFill="1" applyBorder="1" applyAlignment="1">
      <alignment vertical="center"/>
    </xf>
    <xf numFmtId="166" fontId="19" fillId="2" borderId="159" xfId="0" applyNumberFormat="1" applyFont="1" applyFill="1" applyBorder="1" applyAlignment="1">
      <alignment vertical="center"/>
    </xf>
    <xf numFmtId="166" fontId="19" fillId="2" borderId="160" xfId="0" applyNumberFormat="1" applyFont="1" applyFill="1" applyBorder="1" applyAlignment="1">
      <alignment vertical="center"/>
    </xf>
    <xf numFmtId="9" fontId="23" fillId="2" borderId="116" xfId="0" applyNumberFormat="1" applyFont="1" applyFill="1" applyBorder="1" applyAlignment="1">
      <alignment horizontal="right" vertical="center"/>
    </xf>
    <xf numFmtId="166" fontId="19" fillId="2" borderId="58" xfId="0" applyNumberFormat="1" applyFont="1" applyFill="1" applyBorder="1" applyAlignment="1">
      <alignment vertical="center"/>
    </xf>
    <xf numFmtId="166" fontId="16" fillId="4" borderId="181" xfId="0" applyNumberFormat="1" applyFont="1" applyFill="1" applyBorder="1" applyAlignment="1">
      <alignment vertical="center"/>
    </xf>
    <xf numFmtId="166" fontId="16" fillId="4" borderId="173" xfId="0" applyNumberFormat="1" applyFont="1" applyFill="1" applyBorder="1" applyAlignment="1">
      <alignment vertical="center"/>
    </xf>
    <xf numFmtId="166" fontId="16" fillId="4" borderId="189" xfId="0" applyNumberFormat="1" applyFont="1" applyFill="1" applyBorder="1" applyAlignment="1">
      <alignment vertical="center"/>
    </xf>
    <xf numFmtId="164" fontId="19" fillId="0" borderId="101" xfId="0" applyNumberFormat="1" applyFont="1" applyBorder="1" applyAlignment="1">
      <alignment vertical="center" wrapText="1"/>
    </xf>
    <xf numFmtId="49" fontId="21" fillId="2" borderId="101" xfId="0" applyNumberFormat="1" applyFont="1" applyFill="1" applyBorder="1" applyAlignment="1">
      <alignment vertical="center" wrapText="1"/>
    </xf>
    <xf numFmtId="49" fontId="21" fillId="2" borderId="104" xfId="0" applyNumberFormat="1" applyFont="1" applyFill="1" applyBorder="1" applyAlignment="1">
      <alignment vertical="center" wrapText="1"/>
    </xf>
    <xf numFmtId="49" fontId="21" fillId="2" borderId="11" xfId="0" applyNumberFormat="1" applyFont="1" applyFill="1" applyBorder="1" applyAlignment="1">
      <alignment vertical="center" wrapText="1"/>
    </xf>
    <xf numFmtId="164" fontId="21" fillId="2" borderId="101" xfId="0" applyNumberFormat="1" applyFont="1" applyFill="1" applyBorder="1" applyAlignment="1">
      <alignment vertical="center" wrapText="1"/>
    </xf>
    <xf numFmtId="165" fontId="21" fillId="2" borderId="101" xfId="0" applyNumberFormat="1" applyFont="1" applyFill="1" applyBorder="1" applyAlignment="1">
      <alignment vertical="center" wrapText="1"/>
    </xf>
    <xf numFmtId="49" fontId="21" fillId="2" borderId="101" xfId="0" applyNumberFormat="1" applyFont="1" applyFill="1" applyBorder="1" applyAlignment="1">
      <alignment horizontal="justify" vertical="center" wrapText="1"/>
    </xf>
    <xf numFmtId="164" fontId="21" fillId="5" borderId="101" xfId="0" applyNumberFormat="1" applyFont="1" applyFill="1" applyBorder="1" applyAlignment="1">
      <alignment vertical="center" wrapText="1"/>
    </xf>
    <xf numFmtId="9" fontId="23" fillId="5" borderId="17" xfId="0" applyNumberFormat="1" applyFont="1" applyFill="1" applyBorder="1" applyAlignment="1">
      <alignment horizontal="right" vertical="center"/>
    </xf>
    <xf numFmtId="164" fontId="19" fillId="3" borderId="25" xfId="0" applyNumberFormat="1" applyFont="1" applyFill="1" applyBorder="1" applyAlignment="1">
      <alignment vertical="center"/>
    </xf>
    <xf numFmtId="169" fontId="16" fillId="3" borderId="0" xfId="0" applyNumberFormat="1" applyFont="1" applyFill="1" applyAlignment="1">
      <alignment vertical="center"/>
    </xf>
    <xf numFmtId="169" fontId="23" fillId="3" borderId="0" xfId="0" applyNumberFormat="1" applyFont="1" applyFill="1" applyAlignment="1">
      <alignment horizontal="right" vertical="center"/>
    </xf>
    <xf numFmtId="169" fontId="16" fillId="3" borderId="26" xfId="0" applyNumberFormat="1" applyFont="1" applyFill="1" applyBorder="1" applyAlignment="1">
      <alignment vertical="center"/>
    </xf>
    <xf numFmtId="0" fontId="19" fillId="0" borderId="26" xfId="0" applyFont="1" applyBorder="1"/>
    <xf numFmtId="169" fontId="16" fillId="2" borderId="33" xfId="0" applyNumberFormat="1" applyFont="1" applyFill="1" applyBorder="1" applyAlignment="1">
      <alignment vertical="center"/>
    </xf>
    <xf numFmtId="9" fontId="17" fillId="0" borderId="50" xfId="2" applyFont="1" applyFill="1" applyBorder="1" applyAlignment="1">
      <alignment horizontal="center" vertical="center"/>
    </xf>
    <xf numFmtId="164" fontId="21" fillId="4" borderId="104" xfId="0" applyNumberFormat="1" applyFont="1" applyFill="1" applyBorder="1" applyAlignment="1">
      <alignment vertical="center"/>
    </xf>
    <xf numFmtId="169" fontId="17" fillId="4" borderId="57" xfId="0" applyNumberFormat="1" applyFont="1" applyFill="1" applyBorder="1" applyAlignment="1">
      <alignment horizontal="center" vertical="center"/>
    </xf>
    <xf numFmtId="169" fontId="17" fillId="4" borderId="128" xfId="0" applyNumberFormat="1" applyFont="1" applyFill="1" applyBorder="1" applyAlignment="1">
      <alignment horizontal="center" vertical="center"/>
    </xf>
    <xf numFmtId="9" fontId="17" fillId="4" borderId="127" xfId="0" applyNumberFormat="1" applyFont="1" applyFill="1" applyBorder="1" applyAlignment="1">
      <alignment horizontal="center" vertical="center"/>
    </xf>
    <xf numFmtId="15" fontId="27" fillId="3" borderId="128" xfId="0" applyNumberFormat="1" applyFont="1" applyFill="1" applyBorder="1" applyAlignment="1">
      <alignment horizontal="center" vertical="center"/>
    </xf>
    <xf numFmtId="169" fontId="17" fillId="4" borderId="60" xfId="0" applyNumberFormat="1" applyFont="1" applyFill="1" applyBorder="1" applyAlignment="1">
      <alignment horizontal="center" vertical="center"/>
    </xf>
    <xf numFmtId="9" fontId="17" fillId="4" borderId="119" xfId="2" applyFont="1" applyFill="1" applyBorder="1" applyAlignment="1">
      <alignment horizontal="center" vertical="center"/>
    </xf>
    <xf numFmtId="169" fontId="17" fillId="4" borderId="191" xfId="0" applyNumberFormat="1" applyFont="1" applyFill="1" applyBorder="1" applyAlignment="1">
      <alignment horizontal="center" vertical="center"/>
    </xf>
    <xf numFmtId="169" fontId="17" fillId="4" borderId="192" xfId="0" applyNumberFormat="1" applyFont="1" applyFill="1" applyBorder="1" applyAlignment="1">
      <alignment horizontal="center" vertical="center"/>
    </xf>
    <xf numFmtId="169" fontId="17" fillId="4" borderId="193" xfId="0" applyNumberFormat="1" applyFont="1" applyFill="1" applyBorder="1" applyAlignment="1">
      <alignment horizontal="center" vertical="center"/>
    </xf>
    <xf numFmtId="9" fontId="21" fillId="4" borderId="58" xfId="0" applyNumberFormat="1" applyFont="1" applyFill="1" applyBorder="1" applyAlignment="1">
      <alignment horizontal="right" vertical="center"/>
    </xf>
    <xf numFmtId="9" fontId="16" fillId="3" borderId="58" xfId="0" applyNumberFormat="1" applyFont="1" applyFill="1" applyBorder="1" applyAlignment="1">
      <alignment vertical="center"/>
    </xf>
    <xf numFmtId="9" fontId="21" fillId="4" borderId="58" xfId="2" applyFont="1" applyFill="1" applyBorder="1" applyAlignment="1">
      <alignment horizontal="right" vertical="center"/>
    </xf>
    <xf numFmtId="169" fontId="17" fillId="0" borderId="17" xfId="0" applyNumberFormat="1" applyFont="1" applyBorder="1" applyAlignment="1">
      <alignment horizontal="center" vertical="center"/>
    </xf>
    <xf numFmtId="169" fontId="16" fillId="2" borderId="17" xfId="0" applyNumberFormat="1" applyFont="1" applyFill="1" applyBorder="1" applyAlignment="1">
      <alignment vertical="center"/>
    </xf>
    <xf numFmtId="166" fontId="17" fillId="4" borderId="117" xfId="0" applyNumberFormat="1" applyFont="1" applyFill="1" applyBorder="1" applyAlignment="1">
      <alignment vertical="center"/>
    </xf>
    <xf numFmtId="166" fontId="16" fillId="2" borderId="79" xfId="0" applyNumberFormat="1" applyFont="1" applyFill="1" applyBorder="1" applyAlignment="1">
      <alignment vertical="center"/>
    </xf>
    <xf numFmtId="169" fontId="17" fillId="4" borderId="194" xfId="0" applyNumberFormat="1" applyFont="1" applyFill="1" applyBorder="1" applyAlignment="1">
      <alignment horizontal="center" vertical="center"/>
    </xf>
    <xf numFmtId="169" fontId="17" fillId="4" borderId="195" xfId="0" applyNumberFormat="1" applyFont="1" applyFill="1" applyBorder="1" applyAlignment="1">
      <alignment horizontal="center" vertical="center"/>
    </xf>
    <xf numFmtId="166" fontId="16" fillId="2" borderId="80" xfId="0" applyNumberFormat="1" applyFont="1" applyFill="1" applyBorder="1" applyAlignment="1">
      <alignment vertical="center"/>
    </xf>
    <xf numFmtId="166" fontId="19" fillId="2" borderId="75" xfId="0" applyNumberFormat="1" applyFont="1" applyFill="1" applyBorder="1" applyAlignment="1">
      <alignment vertical="center"/>
    </xf>
    <xf numFmtId="166" fontId="16" fillId="5" borderId="79" xfId="0" applyNumberFormat="1" applyFont="1" applyFill="1" applyBorder="1" applyAlignment="1">
      <alignment vertical="center"/>
    </xf>
    <xf numFmtId="166" fontId="16" fillId="5" borderId="74" xfId="0" applyNumberFormat="1" applyFont="1" applyFill="1" applyBorder="1" applyAlignment="1">
      <alignment vertical="center"/>
    </xf>
    <xf numFmtId="166" fontId="19" fillId="2" borderId="43" xfId="0" applyNumberFormat="1" applyFont="1" applyFill="1" applyBorder="1" applyAlignment="1">
      <alignment vertical="center"/>
    </xf>
    <xf numFmtId="166" fontId="19" fillId="2" borderId="170" xfId="0" applyNumberFormat="1" applyFont="1" applyFill="1" applyBorder="1" applyAlignment="1">
      <alignment vertical="center"/>
    </xf>
    <xf numFmtId="169" fontId="17" fillId="0" borderId="0" xfId="0" applyNumberFormat="1" applyFont="1" applyAlignment="1">
      <alignment horizontal="center" vertical="center"/>
    </xf>
    <xf numFmtId="9" fontId="21" fillId="4" borderId="88" xfId="2" applyFont="1" applyFill="1" applyBorder="1" applyAlignment="1">
      <alignment horizontal="right" vertical="center"/>
    </xf>
    <xf numFmtId="9" fontId="16" fillId="2" borderId="88" xfId="2" applyFont="1" applyFill="1" applyBorder="1" applyAlignment="1">
      <alignment vertical="center"/>
    </xf>
    <xf numFmtId="9" fontId="16" fillId="2" borderId="83" xfId="2" applyFont="1" applyFill="1" applyBorder="1" applyAlignment="1">
      <alignment vertical="center"/>
    </xf>
    <xf numFmtId="9" fontId="23" fillId="4" borderId="86" xfId="2" applyFont="1" applyFill="1" applyBorder="1" applyAlignment="1">
      <alignment horizontal="right" vertical="center"/>
    </xf>
    <xf numFmtId="9" fontId="16" fillId="2" borderId="89" xfId="2" applyFont="1" applyFill="1" applyBorder="1" applyAlignment="1">
      <alignment vertical="center"/>
    </xf>
    <xf numFmtId="9" fontId="16" fillId="5" borderId="98" xfId="2" applyFont="1" applyFill="1" applyBorder="1" applyAlignment="1">
      <alignment vertical="center"/>
    </xf>
    <xf numFmtId="9" fontId="21" fillId="4" borderId="118" xfId="2" applyFont="1" applyFill="1" applyBorder="1" applyAlignment="1">
      <alignment horizontal="right" vertical="center"/>
    </xf>
    <xf numFmtId="169" fontId="17" fillId="4" borderId="119" xfId="0" applyNumberFormat="1" applyFont="1" applyFill="1" applyBorder="1" applyAlignment="1">
      <alignment horizontal="center" vertical="center"/>
    </xf>
    <xf numFmtId="15" fontId="27" fillId="3" borderId="104" xfId="0" applyNumberFormat="1" applyFont="1" applyFill="1" applyBorder="1" applyAlignment="1">
      <alignment horizontal="center" vertical="center"/>
    </xf>
    <xf numFmtId="169" fontId="16" fillId="3" borderId="11" xfId="0" applyNumberFormat="1" applyFont="1" applyFill="1" applyBorder="1" applyAlignment="1">
      <alignment vertical="center"/>
    </xf>
    <xf numFmtId="169" fontId="23" fillId="3" borderId="11" xfId="0" applyNumberFormat="1" applyFont="1" applyFill="1" applyBorder="1" applyAlignment="1">
      <alignment horizontal="right" vertical="center"/>
    </xf>
    <xf numFmtId="169" fontId="16" fillId="3" borderId="27" xfId="0" applyNumberFormat="1" applyFont="1" applyFill="1" applyBorder="1" applyAlignment="1">
      <alignment vertical="center"/>
    </xf>
    <xf numFmtId="9" fontId="17" fillId="4" borderId="128" xfId="2" applyFont="1" applyFill="1" applyBorder="1" applyAlignment="1">
      <alignment horizontal="center" vertical="center"/>
    </xf>
    <xf numFmtId="9" fontId="17" fillId="4" borderId="117" xfId="2" applyFont="1" applyFill="1" applyBorder="1" applyAlignment="1">
      <alignment horizontal="right" vertical="center"/>
    </xf>
    <xf numFmtId="9" fontId="23" fillId="5" borderId="98" xfId="2" applyFont="1" applyFill="1" applyBorder="1" applyAlignment="1">
      <alignment horizontal="right" vertical="center"/>
    </xf>
    <xf numFmtId="169" fontId="17" fillId="4" borderId="36" xfId="0" applyNumberFormat="1" applyFont="1" applyFill="1" applyBorder="1" applyAlignment="1">
      <alignment horizontal="center" vertical="center"/>
    </xf>
    <xf numFmtId="166" fontId="16" fillId="2" borderId="31" xfId="0" applyNumberFormat="1" applyFont="1" applyFill="1" applyBorder="1" applyAlignment="1">
      <alignment vertical="center"/>
    </xf>
    <xf numFmtId="166" fontId="19" fillId="2" borderId="36" xfId="0" applyNumberFormat="1" applyFont="1" applyFill="1" applyBorder="1" applyAlignment="1">
      <alignment vertical="center"/>
    </xf>
    <xf numFmtId="166" fontId="19" fillId="2" borderId="31" xfId="0" applyNumberFormat="1" applyFont="1" applyFill="1" applyBorder="1" applyAlignment="1">
      <alignment vertical="center"/>
    </xf>
    <xf numFmtId="166" fontId="16" fillId="4" borderId="180" xfId="0" applyNumberFormat="1" applyFont="1" applyFill="1" applyBorder="1" applyAlignment="1">
      <alignment vertical="center"/>
    </xf>
    <xf numFmtId="9" fontId="21" fillId="4" borderId="34" xfId="2" applyFont="1" applyFill="1" applyBorder="1" applyAlignment="1">
      <alignment horizontal="right" vertical="center"/>
    </xf>
    <xf numFmtId="9" fontId="16" fillId="2" borderId="34" xfId="2" applyFont="1" applyFill="1" applyBorder="1" applyAlignment="1">
      <alignment vertical="center"/>
    </xf>
    <xf numFmtId="9" fontId="23" fillId="4" borderId="180" xfId="2" applyFont="1" applyFill="1" applyBorder="1" applyAlignment="1">
      <alignment horizontal="right" vertical="center"/>
    </xf>
    <xf numFmtId="169" fontId="17" fillId="4" borderId="36" xfId="0" applyNumberFormat="1" applyFont="1" applyFill="1" applyBorder="1" applyAlignment="1">
      <alignment horizontal="center" vertical="center" wrapText="1"/>
    </xf>
    <xf numFmtId="166" fontId="16" fillId="4" borderId="133" xfId="0" applyNumberFormat="1" applyFont="1" applyFill="1" applyBorder="1" applyAlignment="1">
      <alignment vertical="center"/>
    </xf>
    <xf numFmtId="166" fontId="16" fillId="4" borderId="34" xfId="0" applyNumberFormat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9" fontId="16" fillId="4" borderId="117" xfId="2" applyFont="1" applyFill="1" applyBorder="1" applyAlignment="1">
      <alignment horizontal="right" vertical="center"/>
    </xf>
    <xf numFmtId="9" fontId="17" fillId="0" borderId="0" xfId="2" applyFont="1" applyFill="1" applyBorder="1" applyAlignment="1">
      <alignment horizontal="center" vertical="center"/>
    </xf>
    <xf numFmtId="9" fontId="16" fillId="4" borderId="133" xfId="2" applyFont="1" applyFill="1" applyBorder="1" applyAlignment="1">
      <alignment horizontal="right" vertical="center"/>
    </xf>
    <xf numFmtId="9" fontId="16" fillId="2" borderId="31" xfId="2" applyFont="1" applyFill="1" applyBorder="1" applyAlignment="1">
      <alignment vertical="center"/>
    </xf>
    <xf numFmtId="9" fontId="16" fillId="4" borderId="34" xfId="2" applyFont="1" applyFill="1" applyBorder="1" applyAlignment="1">
      <alignment horizontal="right" vertical="center"/>
    </xf>
    <xf numFmtId="9" fontId="16" fillId="2" borderId="36" xfId="2" applyFont="1" applyFill="1" applyBorder="1" applyAlignment="1">
      <alignment vertical="center"/>
    </xf>
    <xf numFmtId="9" fontId="23" fillId="2" borderId="31" xfId="2" applyFont="1" applyFill="1" applyBorder="1" applyAlignment="1">
      <alignment horizontal="right" vertical="center"/>
    </xf>
    <xf numFmtId="9" fontId="23" fillId="4" borderId="34" xfId="2" applyFont="1" applyFill="1" applyBorder="1" applyAlignment="1">
      <alignment horizontal="right" vertical="center"/>
    </xf>
    <xf numFmtId="9" fontId="19" fillId="2" borderId="36" xfId="2" applyFont="1" applyFill="1" applyBorder="1" applyAlignment="1">
      <alignment vertical="center"/>
    </xf>
    <xf numFmtId="166" fontId="16" fillId="4" borderId="170" xfId="0" applyNumberFormat="1" applyFont="1" applyFill="1" applyBorder="1" applyAlignment="1">
      <alignment vertical="center"/>
    </xf>
    <xf numFmtId="166" fontId="17" fillId="4" borderId="25" xfId="0" applyNumberFormat="1" applyFont="1" applyFill="1" applyBorder="1" applyAlignment="1">
      <alignment vertical="center"/>
    </xf>
    <xf numFmtId="9" fontId="19" fillId="2" borderId="44" xfId="0" applyNumberFormat="1" applyFont="1" applyFill="1" applyBorder="1" applyAlignment="1">
      <alignment vertical="center"/>
    </xf>
    <xf numFmtId="9" fontId="16" fillId="2" borderId="24" xfId="0" applyNumberFormat="1" applyFont="1" applyFill="1" applyBorder="1" applyAlignment="1">
      <alignment vertical="center"/>
    </xf>
    <xf numFmtId="169" fontId="16" fillId="2" borderId="88" xfId="0" applyNumberFormat="1" applyFont="1" applyFill="1" applyBorder="1" applyAlignment="1">
      <alignment vertical="center"/>
    </xf>
    <xf numFmtId="169" fontId="23" fillId="2" borderId="24" xfId="0" applyNumberFormat="1" applyFont="1" applyFill="1" applyBorder="1" applyAlignment="1">
      <alignment horizontal="right" vertical="center"/>
    </xf>
    <xf numFmtId="9" fontId="21" fillId="4" borderId="86" xfId="2" applyFont="1" applyFill="1" applyBorder="1" applyAlignment="1">
      <alignment horizontal="right" vertical="center"/>
    </xf>
    <xf numFmtId="49" fontId="17" fillId="4" borderId="139" xfId="0" applyNumberFormat="1" applyFont="1" applyFill="1" applyBorder="1" applyAlignment="1">
      <alignment vertical="center"/>
    </xf>
    <xf numFmtId="166" fontId="16" fillId="4" borderId="187" xfId="0" applyNumberFormat="1" applyFont="1" applyFill="1" applyBorder="1" applyAlignment="1">
      <alignment vertical="center"/>
    </xf>
    <xf numFmtId="166" fontId="19" fillId="5" borderId="124" xfId="0" applyNumberFormat="1" applyFont="1" applyFill="1" applyBorder="1" applyAlignment="1">
      <alignment vertical="center"/>
    </xf>
    <xf numFmtId="166" fontId="16" fillId="5" borderId="51" xfId="0" applyNumberFormat="1" applyFont="1" applyFill="1" applyBorder="1" applyAlignment="1">
      <alignment vertical="center"/>
    </xf>
    <xf numFmtId="9" fontId="23" fillId="5" borderId="0" xfId="2" applyFont="1" applyFill="1" applyBorder="1" applyAlignment="1">
      <alignment horizontal="right" vertical="center"/>
    </xf>
    <xf numFmtId="15" fontId="27" fillId="3" borderId="195" xfId="0" applyNumberFormat="1" applyFont="1" applyFill="1" applyBorder="1" applyAlignment="1">
      <alignment horizontal="center" vertical="center"/>
    </xf>
    <xf numFmtId="15" fontId="17" fillId="0" borderId="101" xfId="0" applyNumberFormat="1" applyFont="1" applyBorder="1" applyAlignment="1">
      <alignment horizontal="left" vertical="center" wrapText="1"/>
    </xf>
    <xf numFmtId="165" fontId="19" fillId="2" borderId="138" xfId="0" applyNumberFormat="1" applyFont="1" applyFill="1" applyBorder="1" applyAlignment="1">
      <alignment vertical="center" wrapText="1"/>
    </xf>
    <xf numFmtId="9" fontId="16" fillId="3" borderId="117" xfId="0" applyNumberFormat="1" applyFont="1" applyFill="1" applyBorder="1" applyAlignment="1">
      <alignment vertical="center"/>
    </xf>
    <xf numFmtId="169" fontId="16" fillId="2" borderId="34" xfId="0" applyNumberFormat="1" applyFont="1" applyFill="1" applyBorder="1" applyAlignment="1">
      <alignment vertical="center"/>
    </xf>
    <xf numFmtId="166" fontId="17" fillId="0" borderId="17" xfId="0" applyNumberFormat="1" applyFont="1" applyBorder="1" applyAlignment="1">
      <alignment horizontal="center" vertical="center"/>
    </xf>
    <xf numFmtId="9" fontId="21" fillId="4" borderId="129" xfId="0" applyNumberFormat="1" applyFont="1" applyFill="1" applyBorder="1" applyAlignment="1">
      <alignment horizontal="right" vertical="center"/>
    </xf>
    <xf numFmtId="9" fontId="19" fillId="5" borderId="44" xfId="0" applyNumberFormat="1" applyFont="1" applyFill="1" applyBorder="1" applyAlignment="1">
      <alignment vertical="center"/>
    </xf>
    <xf numFmtId="9" fontId="16" fillId="5" borderId="24" xfId="0" applyNumberFormat="1" applyFont="1" applyFill="1" applyBorder="1" applyAlignment="1">
      <alignment vertical="center"/>
    </xf>
    <xf numFmtId="9" fontId="16" fillId="5" borderId="88" xfId="2" applyFont="1" applyFill="1" applyBorder="1" applyAlignment="1">
      <alignment vertical="center"/>
    </xf>
    <xf numFmtId="166" fontId="17" fillId="4" borderId="7" xfId="0" applyNumberFormat="1" applyFont="1" applyFill="1" applyBorder="1" applyAlignment="1">
      <alignment horizontal="center" vertical="center"/>
    </xf>
    <xf numFmtId="166" fontId="19" fillId="2" borderId="196" xfId="0" applyNumberFormat="1" applyFont="1" applyFill="1" applyBorder="1" applyAlignment="1">
      <alignment vertical="center"/>
    </xf>
    <xf numFmtId="166" fontId="17" fillId="4" borderId="197" xfId="0" applyNumberFormat="1" applyFont="1" applyFill="1" applyBorder="1" applyAlignment="1">
      <alignment horizontal="center" vertical="center"/>
    </xf>
    <xf numFmtId="166" fontId="19" fillId="2" borderId="198" xfId="0" applyNumberFormat="1" applyFont="1" applyFill="1" applyBorder="1" applyAlignment="1">
      <alignment vertical="center"/>
    </xf>
    <xf numFmtId="166" fontId="19" fillId="2" borderId="153" xfId="0" applyNumberFormat="1" applyFont="1" applyFill="1" applyBorder="1" applyAlignment="1">
      <alignment vertical="center"/>
    </xf>
    <xf numFmtId="166" fontId="19" fillId="2" borderId="110" xfId="0" applyNumberFormat="1" applyFont="1" applyFill="1" applyBorder="1" applyAlignment="1">
      <alignment vertical="center"/>
    </xf>
    <xf numFmtId="166" fontId="16" fillId="2" borderId="199" xfId="0" applyNumberFormat="1" applyFont="1" applyFill="1" applyBorder="1" applyAlignment="1">
      <alignment vertical="center"/>
    </xf>
    <xf numFmtId="166" fontId="16" fillId="2" borderId="200" xfId="0" applyNumberFormat="1" applyFont="1" applyFill="1" applyBorder="1" applyAlignment="1">
      <alignment vertical="center"/>
    </xf>
    <xf numFmtId="166" fontId="17" fillId="4" borderId="47" xfId="0" applyNumberFormat="1" applyFont="1" applyFill="1" applyBorder="1" applyAlignment="1">
      <alignment vertical="center"/>
    </xf>
    <xf numFmtId="166" fontId="16" fillId="2" borderId="201" xfId="0" applyNumberFormat="1" applyFont="1" applyFill="1" applyBorder="1" applyAlignment="1">
      <alignment vertical="center"/>
    </xf>
    <xf numFmtId="166" fontId="19" fillId="2" borderId="136" xfId="0" applyNumberFormat="1" applyFont="1" applyFill="1" applyBorder="1" applyAlignment="1">
      <alignment vertical="center"/>
    </xf>
    <xf numFmtId="49" fontId="17" fillId="4" borderId="74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vertical="center"/>
    </xf>
    <xf numFmtId="49" fontId="21" fillId="2" borderId="11" xfId="0" applyNumberFormat="1" applyFont="1" applyFill="1" applyBorder="1" applyAlignment="1">
      <alignment vertical="center"/>
    </xf>
    <xf numFmtId="49" fontId="17" fillId="4" borderId="15" xfId="0" applyNumberFormat="1" applyFont="1" applyFill="1" applyBorder="1" applyAlignment="1">
      <alignment vertical="center"/>
    </xf>
    <xf numFmtId="167" fontId="17" fillId="8" borderId="101" xfId="1" applyNumberFormat="1" applyFont="1" applyFill="1" applyBorder="1" applyAlignment="1" applyProtection="1">
      <alignment wrapText="1"/>
    </xf>
    <xf numFmtId="167" fontId="17" fillId="0" borderId="101" xfId="1" applyNumberFormat="1" applyFont="1" applyFill="1" applyBorder="1" applyAlignment="1" applyProtection="1">
      <alignment wrapText="1"/>
    </xf>
    <xf numFmtId="166" fontId="17" fillId="4" borderId="199" xfId="0" applyNumberFormat="1" applyFont="1" applyFill="1" applyBorder="1" applyAlignment="1">
      <alignment vertical="center"/>
    </xf>
    <xf numFmtId="166" fontId="16" fillId="5" borderId="200" xfId="0" applyNumberFormat="1" applyFont="1" applyFill="1" applyBorder="1" applyAlignment="1">
      <alignment vertical="center"/>
    </xf>
    <xf numFmtId="166" fontId="17" fillId="4" borderId="200" xfId="0" applyNumberFormat="1" applyFont="1" applyFill="1" applyBorder="1" applyAlignment="1">
      <alignment vertical="center"/>
    </xf>
    <xf numFmtId="49" fontId="17" fillId="4" borderId="27" xfId="0" applyNumberFormat="1" applyFont="1" applyFill="1" applyBorder="1" applyAlignment="1">
      <alignment vertical="center"/>
    </xf>
    <xf numFmtId="49" fontId="17" fillId="2" borderId="27" xfId="0" applyNumberFormat="1" applyFont="1" applyFill="1" applyBorder="1" applyAlignment="1">
      <alignment vertical="center"/>
    </xf>
    <xf numFmtId="166" fontId="19" fillId="2" borderId="26" xfId="0" applyNumberFormat="1" applyFont="1" applyFill="1" applyBorder="1" applyAlignment="1">
      <alignment vertical="center"/>
    </xf>
    <xf numFmtId="166" fontId="19" fillId="2" borderId="157" xfId="0" applyNumberFormat="1" applyFont="1" applyFill="1" applyBorder="1" applyAlignment="1">
      <alignment vertical="center"/>
    </xf>
    <xf numFmtId="9" fontId="23" fillId="2" borderId="103" xfId="0" applyNumberFormat="1" applyFont="1" applyFill="1" applyBorder="1" applyAlignment="1">
      <alignment horizontal="right" vertical="center"/>
    </xf>
    <xf numFmtId="9" fontId="23" fillId="3" borderId="26" xfId="0" applyNumberFormat="1" applyFont="1" applyFill="1" applyBorder="1" applyAlignment="1">
      <alignment horizontal="right" vertical="center"/>
    </xf>
    <xf numFmtId="166" fontId="19" fillId="5" borderId="25" xfId="0" applyNumberFormat="1" applyFont="1" applyFill="1" applyBorder="1" applyAlignment="1">
      <alignment vertical="center"/>
    </xf>
    <xf numFmtId="166" fontId="19" fillId="5" borderId="157" xfId="0" applyNumberFormat="1" applyFont="1" applyFill="1" applyBorder="1" applyAlignment="1">
      <alignment vertical="center"/>
    </xf>
    <xf numFmtId="166" fontId="19" fillId="5" borderId="202" xfId="0" applyNumberFormat="1" applyFont="1" applyFill="1" applyBorder="1" applyAlignment="1">
      <alignment vertical="center"/>
    </xf>
    <xf numFmtId="49" fontId="23" fillId="5" borderId="103" xfId="0" applyNumberFormat="1" applyFont="1" applyFill="1" applyBorder="1" applyAlignment="1">
      <alignment horizontal="right" vertical="center"/>
    </xf>
    <xf numFmtId="49" fontId="23" fillId="2" borderId="116" xfId="0" applyNumberFormat="1" applyFont="1" applyFill="1" applyBorder="1" applyAlignment="1">
      <alignment horizontal="right" vertical="center"/>
    </xf>
    <xf numFmtId="166" fontId="19" fillId="5" borderId="159" xfId="0" applyNumberFormat="1" applyFont="1" applyFill="1" applyBorder="1" applyAlignment="1">
      <alignment vertical="center"/>
    </xf>
    <xf numFmtId="166" fontId="19" fillId="5" borderId="160" xfId="0" applyNumberFormat="1" applyFont="1" applyFill="1" applyBorder="1" applyAlignment="1">
      <alignment vertical="center"/>
    </xf>
    <xf numFmtId="49" fontId="23" fillId="5" borderId="116" xfId="0" applyNumberFormat="1" applyFont="1" applyFill="1" applyBorder="1" applyAlignment="1">
      <alignment horizontal="right" vertical="center"/>
    </xf>
    <xf numFmtId="9" fontId="23" fillId="3" borderId="27" xfId="0" applyNumberFormat="1" applyFont="1" applyFill="1" applyBorder="1" applyAlignment="1">
      <alignment horizontal="right" vertical="center"/>
    </xf>
    <xf numFmtId="166" fontId="19" fillId="2" borderId="156" xfId="0" applyNumberFormat="1" applyFont="1" applyFill="1" applyBorder="1" applyAlignment="1">
      <alignment vertical="center"/>
    </xf>
    <xf numFmtId="166" fontId="19" fillId="2" borderId="202" xfId="0" applyNumberFormat="1" applyFont="1" applyFill="1" applyBorder="1" applyAlignment="1">
      <alignment vertical="center"/>
    </xf>
    <xf numFmtId="49" fontId="23" fillId="2" borderId="103" xfId="0" applyNumberFormat="1" applyFont="1" applyFill="1" applyBorder="1" applyAlignment="1">
      <alignment horizontal="right" vertical="center"/>
    </xf>
    <xf numFmtId="166" fontId="16" fillId="4" borderId="139" xfId="0" applyNumberFormat="1" applyFont="1" applyFill="1" applyBorder="1" applyAlignment="1">
      <alignment vertical="center"/>
    </xf>
    <xf numFmtId="166" fontId="16" fillId="4" borderId="25" xfId="0" applyNumberFormat="1" applyFont="1" applyFill="1" applyBorder="1" applyAlignment="1">
      <alignment vertical="center"/>
    </xf>
    <xf numFmtId="9" fontId="23" fillId="4" borderId="103" xfId="0" applyNumberFormat="1" applyFont="1" applyFill="1" applyBorder="1" applyAlignment="1">
      <alignment horizontal="right" vertical="center"/>
    </xf>
    <xf numFmtId="166" fontId="19" fillId="2" borderId="25" xfId="0" applyNumberFormat="1" applyFont="1" applyFill="1" applyBorder="1" applyAlignment="1">
      <alignment vertical="center"/>
    </xf>
    <xf numFmtId="49" fontId="17" fillId="4" borderId="18" xfId="0" applyNumberFormat="1" applyFont="1" applyFill="1" applyBorder="1" applyAlignment="1">
      <alignment vertical="center"/>
    </xf>
    <xf numFmtId="166" fontId="17" fillId="4" borderId="20" xfId="0" applyNumberFormat="1" applyFont="1" applyFill="1" applyBorder="1" applyAlignment="1">
      <alignment vertical="center"/>
    </xf>
    <xf numFmtId="166" fontId="17" fillId="4" borderId="175" xfId="0" applyNumberFormat="1" applyFont="1" applyFill="1" applyBorder="1" applyAlignment="1">
      <alignment vertical="center"/>
    </xf>
    <xf numFmtId="9" fontId="21" fillId="4" borderId="102" xfId="0" applyNumberFormat="1" applyFont="1" applyFill="1" applyBorder="1" applyAlignment="1">
      <alignment horizontal="right" vertical="center"/>
    </xf>
    <xf numFmtId="9" fontId="16" fillId="3" borderId="20" xfId="0" applyNumberFormat="1" applyFont="1" applyFill="1" applyBorder="1" applyAlignment="1">
      <alignment vertical="center"/>
    </xf>
    <xf numFmtId="166" fontId="17" fillId="4" borderId="19" xfId="0" applyNumberFormat="1" applyFont="1" applyFill="1" applyBorder="1" applyAlignment="1">
      <alignment vertical="center"/>
    </xf>
    <xf numFmtId="166" fontId="17" fillId="4" borderId="203" xfId="0" applyNumberFormat="1" applyFont="1" applyFill="1" applyBorder="1" applyAlignment="1">
      <alignment vertical="center"/>
    </xf>
    <xf numFmtId="9" fontId="21" fillId="4" borderId="204" xfId="0" applyNumberFormat="1" applyFont="1" applyFill="1" applyBorder="1" applyAlignment="1">
      <alignment horizontal="right" vertical="center"/>
    </xf>
    <xf numFmtId="166" fontId="17" fillId="4" borderId="205" xfId="0" applyNumberFormat="1" applyFont="1" applyFill="1" applyBorder="1" applyAlignment="1">
      <alignment vertical="center"/>
    </xf>
    <xf numFmtId="166" fontId="17" fillId="4" borderId="206" xfId="0" applyNumberFormat="1" applyFont="1" applyFill="1" applyBorder="1" applyAlignment="1">
      <alignment vertical="center"/>
    </xf>
    <xf numFmtId="9" fontId="16" fillId="3" borderId="18" xfId="0" applyNumberFormat="1" applyFont="1" applyFill="1" applyBorder="1" applyAlignment="1">
      <alignment vertical="center"/>
    </xf>
    <xf numFmtId="166" fontId="16" fillId="4" borderId="19" xfId="0" applyNumberFormat="1" applyFont="1" applyFill="1" applyBorder="1" applyAlignment="1">
      <alignment vertical="center"/>
    </xf>
    <xf numFmtId="166" fontId="16" fillId="4" borderId="175" xfId="0" applyNumberFormat="1" applyFont="1" applyFill="1" applyBorder="1" applyAlignment="1">
      <alignment vertical="center"/>
    </xf>
    <xf numFmtId="9" fontId="23" fillId="4" borderId="102" xfId="0" applyNumberFormat="1" applyFont="1" applyFill="1" applyBorder="1" applyAlignment="1">
      <alignment horizontal="right" vertical="center"/>
    </xf>
    <xf numFmtId="166" fontId="16" fillId="4" borderId="177" xfId="0" applyNumberFormat="1" applyFont="1" applyFill="1" applyBorder="1" applyAlignment="1">
      <alignment vertical="center"/>
    </xf>
    <xf numFmtId="166" fontId="16" fillId="4" borderId="203" xfId="0" applyNumberFormat="1" applyFont="1" applyFill="1" applyBorder="1" applyAlignment="1">
      <alignment vertical="center"/>
    </xf>
    <xf numFmtId="9" fontId="23" fillId="4" borderId="204" xfId="0" applyNumberFormat="1" applyFont="1" applyFill="1" applyBorder="1" applyAlignment="1">
      <alignment horizontal="right" vertical="center"/>
    </xf>
    <xf numFmtId="165" fontId="0" fillId="2" borderId="183" xfId="0" applyNumberFormat="1" applyFill="1" applyBorder="1" applyAlignment="1">
      <alignment vertical="center" wrapText="1"/>
    </xf>
    <xf numFmtId="49" fontId="33" fillId="0" borderId="183" xfId="0" applyNumberFormat="1" applyFont="1" applyBorder="1" applyAlignment="1">
      <alignment horizontal="justify" vertical="center" wrapText="1"/>
    </xf>
    <xf numFmtId="164" fontId="0" fillId="0" borderId="183" xfId="0" applyNumberFormat="1" applyBorder="1" applyAlignment="1">
      <alignment vertical="center" wrapText="1"/>
    </xf>
    <xf numFmtId="49" fontId="3" fillId="0" borderId="183" xfId="0" applyNumberFormat="1" applyFont="1" applyBorder="1" applyAlignment="1">
      <alignment horizontal="justify" vertical="center" wrapText="1"/>
    </xf>
    <xf numFmtId="49" fontId="0" fillId="0" borderId="183" xfId="0" applyNumberFormat="1" applyBorder="1" applyAlignment="1">
      <alignment vertical="center" wrapText="1"/>
    </xf>
    <xf numFmtId="49" fontId="3" fillId="2" borderId="183" xfId="0" applyNumberFormat="1" applyFont="1" applyFill="1" applyBorder="1" applyAlignment="1">
      <alignment horizontal="justify" vertical="center" wrapText="1"/>
    </xf>
    <xf numFmtId="9" fontId="16" fillId="3" borderId="26" xfId="2" applyFont="1" applyFill="1" applyBorder="1" applyAlignment="1">
      <alignment vertical="center"/>
    </xf>
    <xf numFmtId="166" fontId="16" fillId="5" borderId="58" xfId="0" applyNumberFormat="1" applyFont="1" applyFill="1" applyBorder="1" applyAlignment="1">
      <alignment vertical="center"/>
    </xf>
    <xf numFmtId="166" fontId="19" fillId="5" borderId="58" xfId="0" applyNumberFormat="1" applyFont="1" applyFill="1" applyBorder="1" applyAlignment="1">
      <alignment vertical="center"/>
    </xf>
    <xf numFmtId="43" fontId="19" fillId="2" borderId="11" xfId="1" applyFont="1" applyFill="1" applyBorder="1" applyAlignment="1">
      <alignment vertical="center"/>
    </xf>
    <xf numFmtId="164" fontId="27" fillId="2" borderId="15" xfId="0" applyNumberFormat="1" applyFont="1" applyFill="1" applyBorder="1" applyAlignment="1">
      <alignment vertical="center"/>
    </xf>
    <xf numFmtId="49" fontId="17" fillId="4" borderId="101" xfId="0" applyNumberFormat="1" applyFont="1" applyFill="1" applyBorder="1" applyAlignment="1">
      <alignment vertical="center"/>
    </xf>
    <xf numFmtId="49" fontId="19" fillId="2" borderId="183" xfId="0" applyNumberFormat="1" applyFont="1" applyFill="1" applyBorder="1" applyAlignment="1">
      <alignment vertical="center"/>
    </xf>
    <xf numFmtId="164" fontId="19" fillId="2" borderId="183" xfId="0" applyNumberFormat="1" applyFont="1" applyFill="1" applyBorder="1" applyAlignment="1">
      <alignment vertical="center"/>
    </xf>
    <xf numFmtId="43" fontId="19" fillId="2" borderId="183" xfId="1" applyFont="1" applyFill="1" applyBorder="1" applyAlignment="1">
      <alignment vertical="center"/>
    </xf>
    <xf numFmtId="165" fontId="19" fillId="2" borderId="183" xfId="0" applyNumberFormat="1" applyFont="1" applyFill="1" applyBorder="1" applyAlignment="1">
      <alignment vertical="center"/>
    </xf>
    <xf numFmtId="164" fontId="19" fillId="2" borderId="184" xfId="0" applyNumberFormat="1" applyFont="1" applyFill="1" applyBorder="1" applyAlignment="1">
      <alignment vertical="center"/>
    </xf>
    <xf numFmtId="43" fontId="19" fillId="3" borderId="11" xfId="1" applyFont="1" applyFill="1" applyBorder="1" applyAlignment="1">
      <alignment vertical="center"/>
    </xf>
    <xf numFmtId="43" fontId="23" fillId="3" borderId="11" xfId="1" applyFont="1" applyFill="1" applyBorder="1" applyAlignment="1">
      <alignment horizontal="right" vertical="center"/>
    </xf>
    <xf numFmtId="168" fontId="17" fillId="4" borderId="108" xfId="0" applyNumberFormat="1" applyFont="1" applyFill="1" applyBorder="1" applyAlignment="1">
      <alignment horizontal="center" vertical="center"/>
    </xf>
    <xf numFmtId="168" fontId="17" fillId="4" borderId="56" xfId="0" applyNumberFormat="1" applyFont="1" applyFill="1" applyBorder="1" applyAlignment="1">
      <alignment horizontal="center" vertical="center"/>
    </xf>
    <xf numFmtId="168" fontId="17" fillId="4" borderId="0" xfId="0" applyNumberFormat="1" applyFont="1" applyFill="1" applyAlignment="1">
      <alignment horizontal="center" vertical="center"/>
    </xf>
    <xf numFmtId="168" fontId="16" fillId="2" borderId="56" xfId="0" applyNumberFormat="1" applyFont="1" applyFill="1" applyBorder="1" applyAlignment="1">
      <alignment vertical="center"/>
    </xf>
    <xf numFmtId="166" fontId="19" fillId="2" borderId="56" xfId="0" applyNumberFormat="1" applyFont="1" applyFill="1" applyBorder="1" applyAlignment="1">
      <alignment horizontal="left" vertical="center" indent="6"/>
    </xf>
    <xf numFmtId="168" fontId="17" fillId="4" borderId="17" xfId="0" applyNumberFormat="1" applyFont="1" applyFill="1" applyBorder="1" applyAlignment="1">
      <alignment horizontal="center" vertical="center"/>
    </xf>
    <xf numFmtId="9" fontId="21" fillId="4" borderId="72" xfId="0" applyNumberFormat="1" applyFont="1" applyFill="1" applyBorder="1" applyAlignment="1">
      <alignment horizontal="right" vertical="center"/>
    </xf>
    <xf numFmtId="9" fontId="16" fillId="2" borderId="72" xfId="0" applyNumberFormat="1" applyFont="1" applyFill="1" applyBorder="1" applyAlignment="1">
      <alignment vertical="center"/>
    </xf>
    <xf numFmtId="9" fontId="16" fillId="2" borderId="44" xfId="0" applyNumberFormat="1" applyFont="1" applyFill="1" applyBorder="1" applyAlignment="1">
      <alignment vertical="center"/>
    </xf>
    <xf numFmtId="164" fontId="21" fillId="4" borderId="25" xfId="0" applyNumberFormat="1" applyFont="1" applyFill="1" applyBorder="1" applyAlignment="1">
      <alignment vertical="center"/>
    </xf>
    <xf numFmtId="168" fontId="17" fillId="4" borderId="157" xfId="0" applyNumberFormat="1" applyFont="1" applyFill="1" applyBorder="1" applyAlignment="1">
      <alignment horizontal="center" vertical="center"/>
    </xf>
    <xf numFmtId="168" fontId="17" fillId="4" borderId="26" xfId="0" applyNumberFormat="1" applyFont="1" applyFill="1" applyBorder="1" applyAlignment="1">
      <alignment horizontal="center" vertical="center"/>
    </xf>
    <xf numFmtId="10" fontId="17" fillId="4" borderId="103" xfId="0" applyNumberFormat="1" applyFont="1" applyFill="1" applyBorder="1" applyAlignment="1">
      <alignment horizontal="center" vertical="center"/>
    </xf>
    <xf numFmtId="15" fontId="27" fillId="3" borderId="27" xfId="0" applyNumberFormat="1" applyFont="1" applyFill="1" applyBorder="1" applyAlignment="1">
      <alignment horizontal="center" vertical="center"/>
    </xf>
    <xf numFmtId="168" fontId="17" fillId="4" borderId="202" xfId="0" applyNumberFormat="1" applyFont="1" applyFill="1" applyBorder="1" applyAlignment="1">
      <alignment horizontal="center" vertical="center"/>
    </xf>
    <xf numFmtId="168" fontId="17" fillId="4" borderId="158" xfId="0" applyNumberFormat="1" applyFont="1" applyFill="1" applyBorder="1" applyAlignment="1">
      <alignment horizontal="center" vertical="center"/>
    </xf>
    <xf numFmtId="15" fontId="27" fillId="3" borderId="103" xfId="0" applyNumberFormat="1" applyFont="1" applyFill="1" applyBorder="1" applyAlignment="1">
      <alignment horizontal="center" vertical="center"/>
    </xf>
    <xf numFmtId="168" fontId="17" fillId="4" borderId="181" xfId="0" applyNumberFormat="1" applyFont="1" applyFill="1" applyBorder="1" applyAlignment="1">
      <alignment horizontal="center" vertical="center"/>
    </xf>
    <xf numFmtId="168" fontId="17" fillId="4" borderId="160" xfId="0" applyNumberFormat="1" applyFont="1" applyFill="1" applyBorder="1" applyAlignment="1">
      <alignment horizontal="center" vertical="center"/>
    </xf>
    <xf numFmtId="168" fontId="17" fillId="4" borderId="161" xfId="0" applyNumberFormat="1" applyFont="1" applyFill="1" applyBorder="1" applyAlignment="1">
      <alignment horizontal="center" vertical="center"/>
    </xf>
    <xf numFmtId="15" fontId="27" fillId="3" borderId="26" xfId="0" applyNumberFormat="1" applyFont="1" applyFill="1" applyBorder="1" applyAlignment="1">
      <alignment horizontal="center" vertical="center"/>
    </xf>
    <xf numFmtId="168" fontId="17" fillId="4" borderId="159" xfId="0" applyNumberFormat="1" applyFont="1" applyFill="1" applyBorder="1" applyAlignment="1">
      <alignment horizontal="center" vertical="center"/>
    </xf>
    <xf numFmtId="168" fontId="17" fillId="0" borderId="50" xfId="0" applyNumberFormat="1" applyFont="1" applyBorder="1" applyAlignment="1">
      <alignment horizontal="center" vertical="center"/>
    </xf>
    <xf numFmtId="168" fontId="17" fillId="0" borderId="24" xfId="0" applyNumberFormat="1" applyFont="1" applyBorder="1" applyAlignment="1">
      <alignment horizontal="center" vertical="center"/>
    </xf>
    <xf numFmtId="168" fontId="17" fillId="0" borderId="11" xfId="0" applyNumberFormat="1" applyFont="1" applyBorder="1" applyAlignment="1">
      <alignment horizontal="center" vertical="center"/>
    </xf>
    <xf numFmtId="168" fontId="17" fillId="0" borderId="110" xfId="0" applyNumberFormat="1" applyFont="1" applyBorder="1" applyAlignment="1">
      <alignment horizontal="center" vertical="center"/>
    </xf>
    <xf numFmtId="168" fontId="17" fillId="0" borderId="52" xfId="0" applyNumberFormat="1" applyFont="1" applyBorder="1" applyAlignment="1">
      <alignment horizontal="center" vertical="center"/>
    </xf>
    <xf numFmtId="166" fontId="17" fillId="4" borderId="152" xfId="0" applyNumberFormat="1" applyFont="1" applyFill="1" applyBorder="1" applyAlignment="1">
      <alignment horizontal="right" vertical="center"/>
    </xf>
    <xf numFmtId="166" fontId="19" fillId="2" borderId="154" xfId="0" applyNumberFormat="1" applyFont="1" applyFill="1" applyBorder="1" applyAlignment="1">
      <alignment vertical="center"/>
    </xf>
    <xf numFmtId="166" fontId="16" fillId="2" borderId="152" xfId="0" applyNumberFormat="1" applyFont="1" applyFill="1" applyBorder="1" applyAlignment="1">
      <alignment vertical="center"/>
    </xf>
    <xf numFmtId="166" fontId="16" fillId="2" borderId="154" xfId="0" applyNumberFormat="1" applyFont="1" applyFill="1" applyBorder="1" applyAlignment="1">
      <alignment vertical="center"/>
    </xf>
    <xf numFmtId="165" fontId="16" fillId="5" borderId="83" xfId="0" applyNumberFormat="1" applyFont="1" applyFill="1" applyBorder="1" applyAlignment="1">
      <alignment vertical="center"/>
    </xf>
    <xf numFmtId="168" fontId="17" fillId="4" borderId="156" xfId="0" applyNumberFormat="1" applyFont="1" applyFill="1" applyBorder="1" applyAlignment="1">
      <alignment horizontal="center" vertical="center"/>
    </xf>
    <xf numFmtId="166" fontId="19" fillId="2" borderId="155" xfId="0" applyNumberFormat="1" applyFont="1" applyFill="1" applyBorder="1" applyAlignment="1">
      <alignment vertical="center"/>
    </xf>
    <xf numFmtId="166" fontId="16" fillId="2" borderId="94" xfId="0" applyNumberFormat="1" applyFont="1" applyFill="1" applyBorder="1" applyAlignment="1">
      <alignment vertical="center"/>
    </xf>
    <xf numFmtId="166" fontId="16" fillId="2" borderId="155" xfId="0" applyNumberFormat="1" applyFont="1" applyFill="1" applyBorder="1" applyAlignment="1">
      <alignment vertical="center"/>
    </xf>
    <xf numFmtId="166" fontId="16" fillId="5" borderId="136" xfId="0" applyNumberFormat="1" applyFont="1" applyFill="1" applyBorder="1" applyAlignment="1">
      <alignment vertical="center"/>
    </xf>
    <xf numFmtId="166" fontId="19" fillId="2" borderId="190" xfId="0" applyNumberFormat="1" applyFont="1" applyFill="1" applyBorder="1" applyAlignment="1">
      <alignment vertical="center"/>
    </xf>
    <xf numFmtId="168" fontId="17" fillId="0" borderId="0" xfId="0" applyNumberFormat="1" applyFont="1" applyAlignment="1">
      <alignment horizontal="center" vertical="center"/>
    </xf>
    <xf numFmtId="9" fontId="17" fillId="4" borderId="26" xfId="2" applyFont="1" applyFill="1" applyBorder="1" applyAlignment="1">
      <alignment horizontal="center" vertical="center"/>
    </xf>
    <xf numFmtId="168" fontId="17" fillId="0" borderId="51" xfId="0" applyNumberFormat="1" applyFont="1" applyBorder="1" applyAlignment="1">
      <alignment horizontal="center" vertical="center"/>
    </xf>
    <xf numFmtId="165" fontId="16" fillId="5" borderId="89" xfId="0" applyNumberFormat="1" applyFont="1" applyFill="1" applyBorder="1" applyAlignment="1">
      <alignment vertical="center"/>
    </xf>
    <xf numFmtId="166" fontId="17" fillId="4" borderId="165" xfId="0" applyNumberFormat="1" applyFont="1" applyFill="1" applyBorder="1" applyAlignment="1">
      <alignment vertical="center"/>
    </xf>
    <xf numFmtId="166" fontId="16" fillId="2" borderId="165" xfId="0" applyNumberFormat="1" applyFont="1" applyFill="1" applyBorder="1" applyAlignment="1">
      <alignment vertical="center"/>
    </xf>
    <xf numFmtId="9" fontId="23" fillId="2" borderId="127" xfId="2" applyFont="1" applyFill="1" applyBorder="1" applyAlignment="1">
      <alignment horizontal="right" vertical="center"/>
    </xf>
    <xf numFmtId="9" fontId="17" fillId="4" borderId="72" xfId="2" applyFont="1" applyFill="1" applyBorder="1" applyAlignment="1">
      <alignment horizontal="right" vertical="center"/>
    </xf>
    <xf numFmtId="9" fontId="19" fillId="2" borderId="44" xfId="2" applyFont="1" applyFill="1" applyBorder="1" applyAlignment="1">
      <alignment vertical="center"/>
    </xf>
    <xf numFmtId="9" fontId="16" fillId="2" borderId="72" xfId="2" applyFont="1" applyFill="1" applyBorder="1" applyAlignment="1">
      <alignment vertical="center"/>
    </xf>
    <xf numFmtId="9" fontId="23" fillId="2" borderId="72" xfId="2" applyFont="1" applyFill="1" applyBorder="1" applyAlignment="1">
      <alignment horizontal="right" vertical="center"/>
    </xf>
    <xf numFmtId="9" fontId="23" fillId="4" borderId="86" xfId="0" applyNumberFormat="1" applyFont="1" applyFill="1" applyBorder="1" applyAlignment="1">
      <alignment horizontal="right" vertical="center"/>
    </xf>
    <xf numFmtId="168" fontId="17" fillId="0" borderId="17" xfId="0" applyNumberFormat="1" applyFont="1" applyBorder="1" applyAlignment="1">
      <alignment horizontal="center" vertical="center"/>
    </xf>
    <xf numFmtId="166" fontId="17" fillId="4" borderId="79" xfId="0" applyNumberFormat="1" applyFont="1" applyFill="1" applyBorder="1" applyAlignment="1">
      <alignment vertical="center"/>
    </xf>
    <xf numFmtId="168" fontId="17" fillId="0" borderId="56" xfId="0" applyNumberFormat="1" applyFont="1" applyBorder="1" applyAlignment="1">
      <alignment horizontal="center" vertical="center"/>
    </xf>
    <xf numFmtId="166" fontId="21" fillId="0" borderId="56" xfId="1" applyNumberFormat="1" applyFont="1" applyFill="1" applyBorder="1" applyProtection="1"/>
    <xf numFmtId="2" fontId="19" fillId="2" borderId="25" xfId="0" applyNumberFormat="1" applyFont="1" applyFill="1" applyBorder="1" applyAlignment="1">
      <alignment vertical="center"/>
    </xf>
    <xf numFmtId="2" fontId="19" fillId="2" borderId="157" xfId="0" applyNumberFormat="1" applyFont="1" applyFill="1" applyBorder="1" applyAlignment="1">
      <alignment vertical="center"/>
    </xf>
    <xf numFmtId="166" fontId="16" fillId="4" borderId="157" xfId="0" applyNumberFormat="1" applyFont="1" applyFill="1" applyBorder="1" applyAlignment="1">
      <alignment vertical="center"/>
    </xf>
    <xf numFmtId="167" fontId="17" fillId="8" borderId="182" xfId="1" applyNumberFormat="1" applyFont="1" applyFill="1" applyBorder="1" applyAlignment="1" applyProtection="1">
      <alignment wrapText="1"/>
    </xf>
    <xf numFmtId="167" fontId="17" fillId="0" borderId="182" xfId="1" applyNumberFormat="1" applyFont="1" applyFill="1" applyBorder="1" applyAlignment="1" applyProtection="1">
      <alignment wrapText="1"/>
    </xf>
    <xf numFmtId="164" fontId="21" fillId="4" borderId="27" xfId="0" applyNumberFormat="1" applyFont="1" applyFill="1" applyBorder="1" applyAlignment="1">
      <alignment vertical="center"/>
    </xf>
    <xf numFmtId="164" fontId="19" fillId="0" borderId="183" xfId="0" applyNumberFormat="1" applyFont="1" applyBorder="1" applyAlignment="1">
      <alignment vertical="center" wrapText="1"/>
    </xf>
    <xf numFmtId="164" fontId="38" fillId="0" borderId="183" xfId="0" applyNumberFormat="1" applyFont="1" applyBorder="1" applyAlignment="1">
      <alignment vertical="center" wrapText="1"/>
    </xf>
    <xf numFmtId="49" fontId="39" fillId="0" borderId="183" xfId="0" applyNumberFormat="1" applyFont="1" applyBorder="1" applyAlignment="1">
      <alignment vertical="center" wrapText="1"/>
    </xf>
    <xf numFmtId="164" fontId="39" fillId="0" borderId="183" xfId="0" applyNumberFormat="1" applyFont="1" applyBorder="1" applyAlignment="1">
      <alignment vertical="center" wrapText="1"/>
    </xf>
    <xf numFmtId="49" fontId="19" fillId="0" borderId="183" xfId="0" applyNumberFormat="1" applyFont="1" applyBorder="1" applyAlignment="1">
      <alignment vertical="center" wrapText="1"/>
    </xf>
    <xf numFmtId="164" fontId="19" fillId="0" borderId="183" xfId="0" applyNumberFormat="1" applyFont="1" applyBorder="1" applyAlignment="1">
      <alignment vertical="center"/>
    </xf>
    <xf numFmtId="165" fontId="19" fillId="0" borderId="183" xfId="0" applyNumberFormat="1" applyFont="1" applyBorder="1" applyAlignment="1">
      <alignment vertical="center" wrapText="1"/>
    </xf>
    <xf numFmtId="49" fontId="19" fillId="0" borderId="183" xfId="0" applyNumberFormat="1" applyFont="1" applyBorder="1" applyAlignment="1">
      <alignment vertical="center"/>
    </xf>
    <xf numFmtId="49" fontId="0" fillId="2" borderId="183" xfId="0" applyNumberFormat="1" applyFill="1" applyBorder="1" applyAlignment="1">
      <alignment vertical="center"/>
    </xf>
    <xf numFmtId="49" fontId="40" fillId="0" borderId="183" xfId="0" applyNumberFormat="1" applyFont="1" applyBorder="1" applyAlignment="1">
      <alignment vertical="center"/>
    </xf>
    <xf numFmtId="49" fontId="23" fillId="0" borderId="183" xfId="0" applyNumberFormat="1" applyFont="1" applyBorder="1" applyAlignment="1">
      <alignment horizontal="justify" vertical="center"/>
    </xf>
    <xf numFmtId="164" fontId="0" fillId="2" borderId="183" xfId="0" applyNumberFormat="1" applyFill="1" applyBorder="1" applyAlignment="1">
      <alignment vertical="center"/>
    </xf>
    <xf numFmtId="164" fontId="40" fillId="0" borderId="183" xfId="0" applyNumberFormat="1" applyFont="1" applyBorder="1" applyAlignment="1">
      <alignment vertical="center"/>
    </xf>
    <xf numFmtId="0" fontId="41" fillId="0" borderId="183" xfId="0" applyFont="1" applyBorder="1" applyAlignment="1">
      <alignment horizontal="justify" vertical="center"/>
    </xf>
    <xf numFmtId="0" fontId="40" fillId="0" borderId="183" xfId="0" applyFont="1" applyBorder="1" applyAlignment="1">
      <alignment horizontal="justify" vertical="center"/>
    </xf>
    <xf numFmtId="0" fontId="19" fillId="0" borderId="184" xfId="0" applyFont="1" applyBorder="1"/>
    <xf numFmtId="164" fontId="39" fillId="0" borderId="125" xfId="0" applyNumberFormat="1" applyFont="1" applyBorder="1" applyAlignment="1">
      <alignment vertical="center" wrapText="1"/>
    </xf>
    <xf numFmtId="164" fontId="16" fillId="2" borderId="11" xfId="0" applyNumberFormat="1" applyFont="1" applyFill="1" applyBorder="1" applyAlignment="1">
      <alignment vertical="center"/>
    </xf>
    <xf numFmtId="164" fontId="19" fillId="0" borderId="127" xfId="0" applyNumberFormat="1" applyFont="1" applyBorder="1" applyAlignment="1">
      <alignment vertical="center" wrapText="1"/>
    </xf>
    <xf numFmtId="166" fontId="19" fillId="4" borderId="58" xfId="0" applyNumberFormat="1" applyFont="1" applyFill="1" applyBorder="1" applyAlignment="1">
      <alignment vertical="center"/>
    </xf>
    <xf numFmtId="9" fontId="19" fillId="4" borderId="58" xfId="2" applyFont="1" applyFill="1" applyBorder="1" applyAlignment="1">
      <alignment vertical="center"/>
    </xf>
    <xf numFmtId="164" fontId="27" fillId="2" borderId="11" xfId="0" applyNumberFormat="1" applyFont="1" applyFill="1" applyBorder="1" applyAlignment="1">
      <alignment vertical="center"/>
    </xf>
    <xf numFmtId="166" fontId="17" fillId="0" borderId="82" xfId="0" applyNumberFormat="1" applyFont="1" applyBorder="1" applyAlignment="1">
      <alignment vertical="center"/>
    </xf>
    <xf numFmtId="166" fontId="17" fillId="0" borderId="54" xfId="0" applyNumberFormat="1" applyFont="1" applyBorder="1" applyAlignment="1">
      <alignment vertical="center"/>
    </xf>
    <xf numFmtId="9" fontId="21" fillId="0" borderId="65" xfId="0" applyNumberFormat="1" applyFont="1" applyBorder="1" applyAlignment="1">
      <alignment horizontal="right" vertical="center"/>
    </xf>
    <xf numFmtId="9" fontId="21" fillId="0" borderId="65" xfId="2" applyFont="1" applyFill="1" applyBorder="1" applyAlignment="1">
      <alignment horizontal="right" vertical="center"/>
    </xf>
    <xf numFmtId="166" fontId="17" fillId="0" borderId="99" xfId="0" applyNumberFormat="1" applyFont="1" applyBorder="1" applyAlignment="1">
      <alignment vertical="center"/>
    </xf>
    <xf numFmtId="166" fontId="16" fillId="0" borderId="54" xfId="0" applyNumberFormat="1" applyFont="1" applyBorder="1" applyAlignment="1">
      <alignment vertical="center"/>
    </xf>
    <xf numFmtId="9" fontId="16" fillId="0" borderId="55" xfId="2" applyFont="1" applyFill="1" applyBorder="1" applyAlignment="1">
      <alignment horizontal="right" vertical="center"/>
    </xf>
    <xf numFmtId="164" fontId="19" fillId="0" borderId="125" xfId="0" applyNumberFormat="1" applyFont="1" applyBorder="1" applyAlignment="1">
      <alignment vertical="center" wrapText="1"/>
    </xf>
    <xf numFmtId="164" fontId="19" fillId="0" borderId="127" xfId="0" applyNumberFormat="1" applyFont="1" applyBorder="1" applyAlignment="1">
      <alignment vertical="center"/>
    </xf>
    <xf numFmtId="165" fontId="16" fillId="4" borderId="58" xfId="0" applyNumberFormat="1" applyFont="1" applyFill="1" applyBorder="1" applyAlignment="1">
      <alignment vertical="center"/>
    </xf>
    <xf numFmtId="9" fontId="16" fillId="4" borderId="58" xfId="2" applyFont="1" applyFill="1" applyBorder="1" applyAlignment="1">
      <alignment vertical="center"/>
    </xf>
    <xf numFmtId="9" fontId="19" fillId="4" borderId="117" xfId="2" applyFont="1" applyFill="1" applyBorder="1" applyAlignment="1">
      <alignment vertical="center"/>
    </xf>
    <xf numFmtId="9" fontId="23" fillId="5" borderId="51" xfId="2" applyFont="1" applyFill="1" applyBorder="1" applyAlignment="1">
      <alignment horizontal="right" vertical="center"/>
    </xf>
    <xf numFmtId="9" fontId="21" fillId="0" borderId="55" xfId="2" applyFont="1" applyFill="1" applyBorder="1" applyAlignment="1">
      <alignment horizontal="right" vertical="center"/>
    </xf>
    <xf numFmtId="9" fontId="16" fillId="4" borderId="117" xfId="2" applyFont="1" applyFill="1" applyBorder="1" applyAlignment="1">
      <alignment vertical="center"/>
    </xf>
    <xf numFmtId="9" fontId="19" fillId="5" borderId="0" xfId="2" applyFont="1" applyFill="1" applyBorder="1" applyAlignment="1">
      <alignment vertical="center"/>
    </xf>
    <xf numFmtId="9" fontId="19" fillId="0" borderId="0" xfId="2" applyFont="1" applyBorder="1" applyAlignment="1"/>
    <xf numFmtId="166" fontId="17" fillId="4" borderId="181" xfId="0" applyNumberFormat="1" applyFont="1" applyFill="1" applyBorder="1" applyAlignment="1">
      <alignment horizontal="center" vertical="center"/>
    </xf>
    <xf numFmtId="166" fontId="19" fillId="4" borderId="120" xfId="0" applyNumberFormat="1" applyFont="1" applyFill="1" applyBorder="1" applyAlignment="1">
      <alignment vertical="center"/>
    </xf>
    <xf numFmtId="166" fontId="19" fillId="4" borderId="101" xfId="0" applyNumberFormat="1" applyFont="1" applyFill="1" applyBorder="1" applyAlignment="1">
      <alignment vertical="center"/>
    </xf>
    <xf numFmtId="165" fontId="16" fillId="4" borderId="101" xfId="0" applyNumberFormat="1" applyFont="1" applyFill="1" applyBorder="1" applyAlignment="1">
      <alignment vertical="center"/>
    </xf>
    <xf numFmtId="166" fontId="16" fillId="0" borderId="82" xfId="0" applyNumberFormat="1" applyFont="1" applyBorder="1" applyAlignment="1">
      <alignment vertical="center"/>
    </xf>
    <xf numFmtId="166" fontId="16" fillId="0" borderId="11" xfId="0" applyNumberFormat="1" applyFont="1" applyBorder="1" applyAlignment="1">
      <alignment vertical="center"/>
    </xf>
    <xf numFmtId="166" fontId="16" fillId="4" borderId="101" xfId="0" applyNumberFormat="1" applyFont="1" applyFill="1" applyBorder="1" applyAlignment="1">
      <alignment vertical="center"/>
    </xf>
    <xf numFmtId="9" fontId="16" fillId="0" borderId="24" xfId="0" applyNumberFormat="1" applyFont="1" applyBorder="1" applyAlignment="1">
      <alignment vertical="center"/>
    </xf>
    <xf numFmtId="165" fontId="16" fillId="4" borderId="120" xfId="0" applyNumberFormat="1" applyFont="1" applyFill="1" applyBorder="1" applyAlignment="1">
      <alignment vertical="center"/>
    </xf>
    <xf numFmtId="166" fontId="19" fillId="4" borderId="139" xfId="0" applyNumberFormat="1" applyFont="1" applyFill="1" applyBorder="1" applyAlignment="1">
      <alignment vertical="center"/>
    </xf>
    <xf numFmtId="9" fontId="19" fillId="4" borderId="129" xfId="2" applyFont="1" applyFill="1" applyBorder="1" applyAlignment="1">
      <alignment vertical="center"/>
    </xf>
    <xf numFmtId="166" fontId="17" fillId="0" borderId="53" xfId="0" applyNumberFormat="1" applyFont="1" applyBorder="1" applyAlignment="1">
      <alignment vertical="center"/>
    </xf>
    <xf numFmtId="9" fontId="16" fillId="4" borderId="129" xfId="0" applyNumberFormat="1" applyFont="1" applyFill="1" applyBorder="1" applyAlignment="1">
      <alignment vertical="center"/>
    </xf>
    <xf numFmtId="166" fontId="19" fillId="4" borderId="133" xfId="0" applyNumberFormat="1" applyFont="1" applyFill="1" applyBorder="1" applyAlignment="1">
      <alignment vertical="center"/>
    </xf>
    <xf numFmtId="9" fontId="16" fillId="0" borderId="0" xfId="0" applyNumberFormat="1" applyFont="1" applyAlignment="1">
      <alignment vertical="center"/>
    </xf>
    <xf numFmtId="165" fontId="16" fillId="4" borderId="133" xfId="0" applyNumberFormat="1" applyFont="1" applyFill="1" applyBorder="1" applyAlignment="1">
      <alignment vertical="center"/>
    </xf>
    <xf numFmtId="166" fontId="17" fillId="0" borderId="56" xfId="0" applyNumberFormat="1" applyFont="1" applyBorder="1" applyAlignment="1">
      <alignment vertical="center"/>
    </xf>
    <xf numFmtId="166" fontId="19" fillId="5" borderId="50" xfId="1" applyNumberFormat="1" applyFont="1" applyFill="1" applyBorder="1" applyAlignment="1">
      <alignment vertical="center"/>
    </xf>
    <xf numFmtId="166" fontId="16" fillId="2" borderId="207" xfId="0" applyNumberFormat="1" applyFont="1" applyFill="1" applyBorder="1" applyAlignment="1">
      <alignment vertical="center"/>
    </xf>
    <xf numFmtId="166" fontId="19" fillId="2" borderId="208" xfId="0" applyNumberFormat="1" applyFont="1" applyFill="1" applyBorder="1" applyAlignment="1">
      <alignment vertical="center"/>
    </xf>
    <xf numFmtId="166" fontId="17" fillId="4" borderId="202" xfId="0" applyNumberFormat="1" applyFont="1" applyFill="1" applyBorder="1" applyAlignment="1">
      <alignment horizontal="center" vertical="center"/>
    </xf>
    <xf numFmtId="167" fontId="17" fillId="8" borderId="138" xfId="1" applyNumberFormat="1" applyFont="1" applyFill="1" applyBorder="1" applyAlignment="1" applyProtection="1">
      <alignment wrapText="1"/>
    </xf>
    <xf numFmtId="167" fontId="17" fillId="0" borderId="138" xfId="1" applyNumberFormat="1" applyFont="1" applyFill="1" applyBorder="1" applyAlignment="1" applyProtection="1">
      <alignment wrapText="1"/>
    </xf>
    <xf numFmtId="49" fontId="17" fillId="2" borderId="101" xfId="0" applyNumberFormat="1" applyFont="1" applyFill="1" applyBorder="1" applyAlignment="1">
      <alignment vertical="center"/>
    </xf>
    <xf numFmtId="166" fontId="17" fillId="0" borderId="174" xfId="0" applyNumberFormat="1" applyFont="1" applyBorder="1" applyAlignment="1">
      <alignment horizontal="center" vertical="center"/>
    </xf>
    <xf numFmtId="9" fontId="17" fillId="0" borderId="178" xfId="0" applyNumberFormat="1" applyFont="1" applyBorder="1" applyAlignment="1">
      <alignment horizontal="center" vertical="center"/>
    </xf>
    <xf numFmtId="166" fontId="16" fillId="2" borderId="209" xfId="0" applyNumberFormat="1" applyFont="1" applyFill="1" applyBorder="1" applyAlignment="1">
      <alignment vertical="center"/>
    </xf>
    <xf numFmtId="9" fontId="16" fillId="2" borderId="210" xfId="0" applyNumberFormat="1" applyFont="1" applyFill="1" applyBorder="1" applyAlignment="1">
      <alignment vertical="center"/>
    </xf>
    <xf numFmtId="166" fontId="19" fillId="2" borderId="195" xfId="0" applyNumberFormat="1" applyFont="1" applyFill="1" applyBorder="1" applyAlignment="1">
      <alignment vertical="center"/>
    </xf>
    <xf numFmtId="9" fontId="23" fillId="2" borderId="211" xfId="0" applyNumberFormat="1" applyFont="1" applyFill="1" applyBorder="1" applyAlignment="1">
      <alignment horizontal="right" vertical="center"/>
    </xf>
    <xf numFmtId="9" fontId="23" fillId="4" borderId="180" xfId="0" applyNumberFormat="1" applyFont="1" applyFill="1" applyBorder="1" applyAlignment="1">
      <alignment horizontal="right" vertical="center"/>
    </xf>
    <xf numFmtId="165" fontId="16" fillId="3" borderId="101" xfId="0" applyNumberFormat="1" applyFont="1" applyFill="1" applyBorder="1" applyAlignment="1">
      <alignment vertical="center"/>
    </xf>
    <xf numFmtId="15" fontId="27" fillId="0" borderId="21" xfId="0" applyNumberFormat="1" applyFont="1" applyBorder="1" applyAlignment="1">
      <alignment horizontal="center" vertical="center"/>
    </xf>
    <xf numFmtId="164" fontId="19" fillId="2" borderId="138" xfId="0" applyNumberFormat="1" applyFont="1" applyFill="1" applyBorder="1" applyAlignment="1">
      <alignment vertical="center" wrapText="1"/>
    </xf>
    <xf numFmtId="49" fontId="42" fillId="2" borderId="101" xfId="0" applyNumberFormat="1" applyFont="1" applyFill="1" applyBorder="1" applyAlignment="1">
      <alignment horizontal="justify" vertical="center" wrapText="1"/>
    </xf>
    <xf numFmtId="164" fontId="6" fillId="2" borderId="101" xfId="0" applyNumberFormat="1" applyFont="1" applyFill="1" applyBorder="1" applyAlignment="1">
      <alignment vertical="center" wrapText="1"/>
    </xf>
    <xf numFmtId="49" fontId="6" fillId="2" borderId="101" xfId="0" applyNumberFormat="1" applyFont="1" applyFill="1" applyBorder="1" applyAlignment="1">
      <alignment vertical="center" wrapText="1"/>
    </xf>
    <xf numFmtId="166" fontId="5" fillId="4" borderId="21" xfId="0" applyNumberFormat="1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7" fillId="4" borderId="10" xfId="0" applyNumberFormat="1" applyFont="1" applyFill="1" applyBorder="1" applyAlignment="1">
      <alignment horizontal="center" vertical="center" wrapText="1"/>
    </xf>
    <xf numFmtId="14" fontId="7" fillId="4" borderId="11" xfId="0" applyNumberFormat="1" applyFont="1" applyFill="1" applyBorder="1" applyAlignment="1">
      <alignment horizontal="center"/>
    </xf>
    <xf numFmtId="166" fontId="35" fillId="2" borderId="11" xfId="1" applyNumberFormat="1" applyFont="1" applyFill="1" applyBorder="1"/>
    <xf numFmtId="166" fontId="35" fillId="2" borderId="14" xfId="1" applyNumberFormat="1" applyFont="1" applyFill="1" applyBorder="1"/>
    <xf numFmtId="166" fontId="0" fillId="2" borderId="11" xfId="1" applyNumberFormat="1" applyFont="1" applyFill="1" applyBorder="1" applyAlignment="1"/>
    <xf numFmtId="166" fontId="19" fillId="2" borderId="11" xfId="1" applyNumberFormat="1" applyFont="1" applyFill="1" applyBorder="1"/>
    <xf numFmtId="166" fontId="19" fillId="2" borderId="14" xfId="1" applyNumberFormat="1" applyFont="1" applyFill="1" applyBorder="1"/>
    <xf numFmtId="43" fontId="0" fillId="0" borderId="0" xfId="1" applyFont="1" applyFill="1" applyAlignment="1"/>
    <xf numFmtId="166" fontId="19" fillId="2" borderId="65" xfId="0" applyNumberFormat="1" applyFont="1" applyFill="1" applyBorder="1" applyAlignment="1">
      <alignment horizontal="right" vertical="center"/>
    </xf>
    <xf numFmtId="166" fontId="0" fillId="5" borderId="50" xfId="0" applyNumberFormat="1" applyFill="1" applyBorder="1" applyAlignment="1">
      <alignment vertical="center"/>
    </xf>
    <xf numFmtId="166" fontId="0" fillId="5" borderId="54" xfId="0" applyNumberFormat="1" applyFill="1" applyBorder="1" applyAlignment="1">
      <alignment vertical="center"/>
    </xf>
    <xf numFmtId="166" fontId="0" fillId="5" borderId="62" xfId="0" applyNumberFormat="1" applyFill="1" applyBorder="1" applyAlignment="1">
      <alignment vertical="center"/>
    </xf>
    <xf numFmtId="166" fontId="0" fillId="5" borderId="82" xfId="0" applyNumberFormat="1" applyFill="1" applyBorder="1" applyAlignment="1">
      <alignment vertical="center"/>
    </xf>
    <xf numFmtId="166" fontId="21" fillId="0" borderId="50" xfId="1" applyNumberFormat="1" applyFont="1" applyFill="1" applyBorder="1" applyProtection="1"/>
    <xf numFmtId="166" fontId="21" fillId="0" borderId="53" xfId="0" applyNumberFormat="1" applyFont="1" applyBorder="1" applyAlignment="1">
      <alignment vertical="center"/>
    </xf>
    <xf numFmtId="4" fontId="0" fillId="0" borderId="0" xfId="0" applyNumberFormat="1"/>
    <xf numFmtId="166" fontId="20" fillId="0" borderId="0" xfId="0" applyNumberFormat="1" applyFont="1"/>
    <xf numFmtId="166" fontId="12" fillId="4" borderId="21" xfId="0" applyNumberFormat="1" applyFont="1" applyFill="1" applyBorder="1" applyAlignment="1">
      <alignment horizontal="center" vertical="center" wrapText="1"/>
    </xf>
    <xf numFmtId="14" fontId="18" fillId="4" borderId="11" xfId="0" applyNumberFormat="1" applyFont="1" applyFill="1" applyBorder="1" applyAlignment="1">
      <alignment horizontal="center"/>
    </xf>
    <xf numFmtId="166" fontId="20" fillId="2" borderId="23" xfId="0" applyNumberFormat="1" applyFont="1" applyFill="1" applyBorder="1"/>
    <xf numFmtId="166" fontId="20" fillId="2" borderId="24" xfId="0" applyNumberFormat="1" applyFont="1" applyFill="1" applyBorder="1"/>
    <xf numFmtId="166" fontId="43" fillId="0" borderId="0" xfId="0" applyNumberFormat="1" applyFont="1"/>
    <xf numFmtId="166" fontId="44" fillId="0" borderId="18" xfId="0" applyNumberFormat="1" applyFont="1" applyBorder="1" applyAlignment="1">
      <alignment horizontal="center"/>
    </xf>
    <xf numFmtId="166" fontId="45" fillId="4" borderId="21" xfId="0" applyNumberFormat="1" applyFont="1" applyFill="1" applyBorder="1" applyAlignment="1">
      <alignment horizontal="center" vertical="center" wrapText="1"/>
    </xf>
    <xf numFmtId="14" fontId="45" fillId="4" borderId="17" xfId="0" applyNumberFormat="1" applyFont="1" applyFill="1" applyBorder="1" applyAlignment="1">
      <alignment horizontal="center"/>
    </xf>
    <xf numFmtId="166" fontId="45" fillId="4" borderId="11" xfId="0" applyNumberFormat="1" applyFont="1" applyFill="1" applyBorder="1" applyAlignment="1">
      <alignment horizontal="center"/>
    </xf>
    <xf numFmtId="166" fontId="20" fillId="6" borderId="10" xfId="0" applyNumberFormat="1" applyFont="1" applyFill="1" applyBorder="1"/>
    <xf numFmtId="10" fontId="18" fillId="4" borderId="18" xfId="2" applyNumberFormat="1" applyFont="1" applyFill="1" applyBorder="1" applyAlignment="1"/>
    <xf numFmtId="2" fontId="18" fillId="3" borderId="18" xfId="2" applyNumberFormat="1" applyFont="1" applyFill="1" applyBorder="1" applyAlignment="1"/>
    <xf numFmtId="166" fontId="18" fillId="6" borderId="10" xfId="0" applyNumberFormat="1" applyFont="1" applyFill="1" applyBorder="1" applyAlignment="1">
      <alignment wrapText="1"/>
    </xf>
    <xf numFmtId="166" fontId="20" fillId="0" borderId="11" xfId="0" applyNumberFormat="1" applyFont="1" applyBorder="1" applyAlignment="1">
      <alignment horizontal="right"/>
    </xf>
    <xf numFmtId="166" fontId="18" fillId="3" borderId="18" xfId="2" applyNumberFormat="1" applyFont="1" applyFill="1" applyBorder="1" applyAlignment="1"/>
    <xf numFmtId="166" fontId="20" fillId="5" borderId="27" xfId="0" applyNumberFormat="1" applyFont="1" applyFill="1" applyBorder="1"/>
    <xf numFmtId="166" fontId="20" fillId="3" borderId="18" xfId="0" applyNumberFormat="1" applyFont="1" applyFill="1" applyBorder="1"/>
    <xf numFmtId="166" fontId="19" fillId="2" borderId="50" xfId="1" applyNumberFormat="1" applyFont="1" applyFill="1" applyBorder="1" applyAlignment="1">
      <alignment vertical="center"/>
    </xf>
    <xf numFmtId="166" fontId="29" fillId="9" borderId="82" xfId="0" applyNumberFormat="1" applyFont="1" applyFill="1" applyBorder="1" applyAlignment="1">
      <alignment vertical="center"/>
    </xf>
    <xf numFmtId="166" fontId="29" fillId="0" borderId="82" xfId="0" applyNumberFormat="1" applyFont="1" applyBorder="1" applyAlignment="1">
      <alignment vertical="center"/>
    </xf>
    <xf numFmtId="166" fontId="29" fillId="0" borderId="56" xfId="0" applyNumberFormat="1" applyFont="1" applyBorder="1" applyAlignment="1">
      <alignment vertical="center"/>
    </xf>
    <xf numFmtId="166" fontId="29" fillId="9" borderId="94" xfId="0" applyNumberFormat="1" applyFont="1" applyFill="1" applyBorder="1" applyAlignment="1">
      <alignment vertical="center"/>
    </xf>
    <xf numFmtId="49" fontId="17" fillId="4" borderId="23" xfId="0" applyNumberFormat="1" applyFont="1" applyFill="1" applyBorder="1" applyAlignment="1">
      <alignment horizontal="left" vertical="center" wrapText="1"/>
    </xf>
    <xf numFmtId="15" fontId="17" fillId="4" borderId="24" xfId="0" applyNumberFormat="1" applyFont="1" applyFill="1" applyBorder="1" applyAlignment="1">
      <alignment horizontal="left" vertical="center" wrapText="1"/>
    </xf>
    <xf numFmtId="49" fontId="17" fillId="4" borderId="36" xfId="0" applyNumberFormat="1" applyFont="1" applyFill="1" applyBorder="1" applyAlignment="1">
      <alignment horizontal="center" vertical="center" wrapText="1"/>
    </xf>
    <xf numFmtId="165" fontId="17" fillId="4" borderId="44" xfId="0" applyNumberFormat="1" applyFont="1" applyFill="1" applyBorder="1" applyAlignment="1">
      <alignment horizontal="center" vertical="center" wrapText="1"/>
    </xf>
    <xf numFmtId="49" fontId="17" fillId="4" borderId="45" xfId="0" applyNumberFormat="1" applyFont="1" applyFill="1" applyBorder="1" applyAlignment="1">
      <alignment horizontal="center" vertical="center" wrapText="1"/>
    </xf>
    <xf numFmtId="165" fontId="17" fillId="4" borderId="125" xfId="0" applyNumberFormat="1" applyFont="1" applyFill="1" applyBorder="1" applyAlignment="1">
      <alignment horizontal="center" vertical="center" wrapText="1"/>
    </xf>
    <xf numFmtId="49" fontId="17" fillId="4" borderId="49" xfId="0" applyNumberFormat="1" applyFont="1" applyFill="1" applyBorder="1" applyAlignment="1">
      <alignment horizontal="center" vertical="center" wrapText="1"/>
    </xf>
    <xf numFmtId="165" fontId="17" fillId="4" borderId="36" xfId="0" applyNumberFormat="1" applyFont="1" applyFill="1" applyBorder="1" applyAlignment="1">
      <alignment horizontal="center" vertical="center" wrapText="1"/>
    </xf>
    <xf numFmtId="49" fontId="17" fillId="4" borderId="22" xfId="0" applyNumberFormat="1" applyFont="1" applyFill="1" applyBorder="1" applyAlignment="1">
      <alignment horizontal="center" vertical="center"/>
    </xf>
    <xf numFmtId="15" fontId="17" fillId="4" borderId="22" xfId="0" applyNumberFormat="1" applyFont="1" applyFill="1" applyBorder="1" applyAlignment="1">
      <alignment horizontal="center" vertical="center"/>
    </xf>
    <xf numFmtId="15" fontId="17" fillId="4" borderId="40" xfId="0" applyNumberFormat="1" applyFont="1" applyFill="1" applyBorder="1" applyAlignment="1">
      <alignment horizontal="center" vertical="center"/>
    </xf>
    <xf numFmtId="15" fontId="17" fillId="4" borderId="41" xfId="0" applyNumberFormat="1" applyFont="1" applyFill="1" applyBorder="1" applyAlignment="1">
      <alignment horizontal="center" vertical="center"/>
    </xf>
    <xf numFmtId="49" fontId="17" fillId="4" borderId="21" xfId="0" applyNumberFormat="1" applyFont="1" applyFill="1" applyBorder="1" applyAlignment="1">
      <alignment horizontal="center" vertical="center"/>
    </xf>
    <xf numFmtId="15" fontId="17" fillId="4" borderId="23" xfId="0" applyNumberFormat="1" applyFont="1" applyFill="1" applyBorder="1" applyAlignment="1">
      <alignment horizontal="center" vertical="center"/>
    </xf>
    <xf numFmtId="49" fontId="17" fillId="4" borderId="22" xfId="0" applyNumberFormat="1" applyFont="1" applyFill="1" applyBorder="1" applyAlignment="1">
      <alignment horizontal="center" vertical="center" wrapText="1"/>
    </xf>
    <xf numFmtId="164" fontId="17" fillId="4" borderId="22" xfId="0" applyNumberFormat="1" applyFont="1" applyFill="1" applyBorder="1" applyAlignment="1">
      <alignment horizontal="center" vertical="center" wrapText="1"/>
    </xf>
    <xf numFmtId="164" fontId="17" fillId="4" borderId="23" xfId="0" applyNumberFormat="1" applyFont="1" applyFill="1" applyBorder="1" applyAlignment="1">
      <alignment horizontal="center" vertical="center" wrapText="1"/>
    </xf>
    <xf numFmtId="49" fontId="17" fillId="4" borderId="42" xfId="0" applyNumberFormat="1" applyFont="1" applyFill="1" applyBorder="1" applyAlignment="1">
      <alignment horizontal="center" vertical="center"/>
    </xf>
    <xf numFmtId="49" fontId="17" fillId="4" borderId="40" xfId="0" applyNumberFormat="1" applyFont="1" applyFill="1" applyBorder="1" applyAlignment="1">
      <alignment horizontal="center" vertical="center" wrapText="1"/>
    </xf>
    <xf numFmtId="164" fontId="17" fillId="4" borderId="4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wrapText="1"/>
    </xf>
    <xf numFmtId="49" fontId="17" fillId="2" borderId="4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/>
    </xf>
    <xf numFmtId="49" fontId="16" fillId="2" borderId="0" xfId="0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5" fontId="17" fillId="2" borderId="0" xfId="0" applyNumberFormat="1" applyFont="1" applyFill="1" applyAlignment="1">
      <alignment horizontal="center"/>
    </xf>
    <xf numFmtId="49" fontId="17" fillId="4" borderId="10" xfId="0" applyNumberFormat="1" applyFont="1" applyFill="1" applyBorder="1" applyAlignment="1">
      <alignment horizontal="left" vertical="center" wrapText="1"/>
    </xf>
    <xf numFmtId="15" fontId="17" fillId="4" borderId="11" xfId="0" applyNumberFormat="1" applyFont="1" applyFill="1" applyBorder="1" applyAlignment="1">
      <alignment horizontal="left" vertical="center" wrapText="1"/>
    </xf>
    <xf numFmtId="49" fontId="17" fillId="4" borderId="46" xfId="0" applyNumberFormat="1" applyFont="1" applyFill="1" applyBorder="1" applyAlignment="1">
      <alignment horizontal="center" vertical="center" wrapText="1"/>
    </xf>
    <xf numFmtId="49" fontId="17" fillId="4" borderId="172" xfId="0" applyNumberFormat="1" applyFont="1" applyFill="1" applyBorder="1" applyAlignment="1">
      <alignment horizontal="center" vertical="center" wrapText="1"/>
    </xf>
    <xf numFmtId="49" fontId="17" fillId="4" borderId="122" xfId="0" applyNumberFormat="1" applyFont="1" applyFill="1" applyBorder="1" applyAlignment="1">
      <alignment horizontal="center" vertical="center" wrapText="1"/>
    </xf>
    <xf numFmtId="49" fontId="17" fillId="4" borderId="123" xfId="0" applyNumberFormat="1" applyFont="1" applyFill="1" applyBorder="1" applyAlignment="1">
      <alignment horizontal="center" vertical="center" wrapText="1"/>
    </xf>
    <xf numFmtId="49" fontId="17" fillId="4" borderId="40" xfId="0" applyNumberFormat="1" applyFont="1" applyFill="1" applyBorder="1" applyAlignment="1">
      <alignment horizontal="center" vertical="center"/>
    </xf>
    <xf numFmtId="49" fontId="17" fillId="4" borderId="42" xfId="0" applyNumberFormat="1" applyFont="1" applyFill="1" applyBorder="1" applyAlignment="1">
      <alignment horizontal="center" vertical="center" wrapText="1"/>
    </xf>
    <xf numFmtId="164" fontId="17" fillId="4" borderId="4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/>
    </xf>
    <xf numFmtId="49" fontId="17" fillId="5" borderId="0" xfId="0" applyNumberFormat="1" applyFont="1" applyFill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center"/>
    </xf>
    <xf numFmtId="49" fontId="17" fillId="7" borderId="4" xfId="0" applyNumberFormat="1" applyFont="1" applyFill="1" applyBorder="1" applyAlignment="1">
      <alignment horizontal="center" vertical="center"/>
    </xf>
    <xf numFmtId="49" fontId="17" fillId="7" borderId="0" xfId="0" applyNumberFormat="1" applyFont="1" applyFill="1" applyAlignment="1">
      <alignment horizontal="center" vertical="center"/>
    </xf>
    <xf numFmtId="49" fontId="16" fillId="5" borderId="4" xfId="0" applyNumberFormat="1" applyFont="1" applyFill="1" applyBorder="1" applyAlignment="1">
      <alignment horizontal="center" vertical="center"/>
    </xf>
    <xf numFmtId="49" fontId="16" fillId="5" borderId="0" xfId="0" applyNumberFormat="1" applyFont="1" applyFill="1" applyAlignment="1">
      <alignment horizontal="center" vertical="center"/>
    </xf>
    <xf numFmtId="164" fontId="16" fillId="5" borderId="0" xfId="0" applyNumberFormat="1" applyFont="1" applyFill="1" applyAlignment="1">
      <alignment horizontal="center" vertical="center"/>
    </xf>
    <xf numFmtId="15" fontId="17" fillId="5" borderId="0" xfId="0" applyNumberFormat="1" applyFont="1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5" fontId="5" fillId="2" borderId="0" xfId="0" applyNumberFormat="1" applyFont="1" applyFill="1" applyAlignment="1">
      <alignment horizontal="center"/>
    </xf>
    <xf numFmtId="49" fontId="17" fillId="7" borderId="4" xfId="0" applyNumberFormat="1" applyFont="1" applyFill="1" applyBorder="1" applyAlignment="1">
      <alignment horizontal="center"/>
    </xf>
    <xf numFmtId="49" fontId="17" fillId="7" borderId="0" xfId="0" applyNumberFormat="1" applyFont="1" applyFill="1" applyAlignment="1">
      <alignment horizontal="center"/>
    </xf>
    <xf numFmtId="15" fontId="17" fillId="7" borderId="0" xfId="0" applyNumberFormat="1" applyFont="1" applyFill="1" applyAlignment="1">
      <alignment horizontal="center"/>
    </xf>
    <xf numFmtId="49" fontId="17" fillId="4" borderId="21" xfId="0" applyNumberFormat="1" applyFont="1" applyFill="1" applyBorder="1" applyAlignment="1">
      <alignment horizontal="center" vertical="center" wrapText="1"/>
    </xf>
    <xf numFmtId="15" fontId="17" fillId="7" borderId="0" xfId="0" applyNumberFormat="1" applyFont="1" applyFill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17" fillId="4" borderId="126" xfId="0" applyNumberFormat="1" applyFont="1" applyFill="1" applyBorder="1" applyAlignment="1">
      <alignment horizontal="center" vertical="center" wrapText="1"/>
    </xf>
    <xf numFmtId="49" fontId="17" fillId="4" borderId="126" xfId="0" applyNumberFormat="1" applyFont="1" applyFill="1" applyBorder="1" applyAlignment="1">
      <alignment horizontal="center" vertical="center" wrapText="1"/>
    </xf>
    <xf numFmtId="15" fontId="17" fillId="4" borderId="12" xfId="0" applyNumberFormat="1" applyFont="1" applyFill="1" applyBorder="1" applyAlignment="1">
      <alignment horizontal="left" vertical="center" wrapText="1"/>
    </xf>
    <xf numFmtId="15" fontId="17" fillId="4" borderId="104" xfId="0" applyNumberFormat="1" applyFont="1" applyFill="1" applyBorder="1" applyAlignment="1">
      <alignment horizontal="left" vertical="center" wrapText="1"/>
    </xf>
    <xf numFmtId="165" fontId="17" fillId="4" borderId="46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/>
    </xf>
    <xf numFmtId="49" fontId="1" fillId="7" borderId="0" xfId="0" applyNumberFormat="1" applyFont="1" applyFill="1" applyAlignment="1">
      <alignment horizontal="center"/>
    </xf>
    <xf numFmtId="15" fontId="17" fillId="4" borderId="78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49" fontId="17" fillId="4" borderId="11" xfId="0" applyNumberFormat="1" applyFont="1" applyFill="1" applyBorder="1" applyAlignment="1">
      <alignment horizontal="left" vertical="center" wrapText="1"/>
    </xf>
    <xf numFmtId="49" fontId="17" fillId="4" borderId="27" xfId="0" applyNumberFormat="1" applyFont="1" applyFill="1" applyBorder="1" applyAlignment="1">
      <alignment horizontal="left" vertical="center" wrapText="1"/>
    </xf>
    <xf numFmtId="49" fontId="17" fillId="4" borderId="125" xfId="0" applyNumberFormat="1" applyFont="1" applyFill="1" applyBorder="1" applyAlignment="1">
      <alignment horizontal="center" vertical="center" wrapText="1"/>
    </xf>
    <xf numFmtId="49" fontId="17" fillId="4" borderId="44" xfId="0" applyNumberFormat="1" applyFont="1" applyFill="1" applyBorder="1" applyAlignment="1">
      <alignment horizontal="center" vertical="center" wrapText="1"/>
    </xf>
    <xf numFmtId="49" fontId="17" fillId="4" borderId="172" xfId="0" applyNumberFormat="1" applyFont="1" applyFill="1" applyBorder="1" applyAlignment="1">
      <alignment horizontal="center" vertical="center"/>
    </xf>
    <xf numFmtId="49" fontId="17" fillId="4" borderId="122" xfId="0" applyNumberFormat="1" applyFont="1" applyFill="1" applyBorder="1" applyAlignment="1">
      <alignment horizontal="center" vertical="center"/>
    </xf>
    <xf numFmtId="49" fontId="17" fillId="4" borderId="123" xfId="0" applyNumberFormat="1" applyFont="1" applyFill="1" applyBorder="1" applyAlignment="1">
      <alignment horizontal="center" vertical="center"/>
    </xf>
    <xf numFmtId="49" fontId="17" fillId="4" borderId="41" xfId="0" applyNumberFormat="1" applyFont="1" applyFill="1" applyBorder="1" applyAlignment="1">
      <alignment horizontal="center" vertical="center" wrapText="1"/>
    </xf>
  </cellXfs>
  <cellStyles count="21">
    <cellStyle name="Comma" xfId="1" builtinId="3"/>
    <cellStyle name="Comma 2" xfId="8" xr:uid="{00000000-0005-0000-0000-000001000000}"/>
    <cellStyle name="Comma 2 2" xfId="15" xr:uid="{00000000-0005-0000-0000-000002000000}"/>
    <cellStyle name="Comma 2 3" xfId="18" xr:uid="{00000000-0005-0000-0000-000003000000}"/>
    <cellStyle name="Comma 3" xfId="9" xr:uid="{00000000-0005-0000-0000-000004000000}"/>
    <cellStyle name="Comma 3 2" xfId="16" xr:uid="{00000000-0005-0000-0000-000005000000}"/>
    <cellStyle name="Comma 4" xfId="10" xr:uid="{00000000-0005-0000-0000-000006000000}"/>
    <cellStyle name="Comma 5" xfId="11" xr:uid="{00000000-0005-0000-0000-000007000000}"/>
    <cellStyle name="Normal" xfId="0" builtinId="0"/>
    <cellStyle name="Normal 10" xfId="19" xr:uid="{00000000-0005-0000-0000-000009000000}"/>
    <cellStyle name="Normal 2" xfId="5" xr:uid="{00000000-0005-0000-0000-00000A000000}"/>
    <cellStyle name="Normal 2 2" xfId="3" xr:uid="{00000000-0005-0000-0000-00000B000000}"/>
    <cellStyle name="Normal 2 2 2" xfId="4" xr:uid="{00000000-0005-0000-0000-00000C000000}"/>
    <cellStyle name="Normal 2 2 3" xfId="7" xr:uid="{00000000-0005-0000-0000-00000D000000}"/>
    <cellStyle name="Normal 2 3" xfId="17" xr:uid="{00000000-0005-0000-0000-00000E000000}"/>
    <cellStyle name="Normal 3" xfId="12" xr:uid="{00000000-0005-0000-0000-00000F000000}"/>
    <cellStyle name="Normal 4" xfId="13" xr:uid="{00000000-0005-0000-0000-000010000000}"/>
    <cellStyle name="Normal 5" xfId="14" xr:uid="{00000000-0005-0000-0000-000011000000}"/>
    <cellStyle name="Normal 56" xfId="20" xr:uid="{00000000-0005-0000-0000-000012000000}"/>
    <cellStyle name="Normal 6" xfId="6" xr:uid="{00000000-0005-0000-0000-000013000000}"/>
    <cellStyle name="Percent" xfId="2" builtinId="5"/>
  </cellStyles>
  <dxfs count="7"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  <dxf>
      <fill>
        <patternFill patternType="solid">
          <fgColor indexed="16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tatutory%20Bodies%20Quarterly%20Reports/Anguilla%20Community%20College/2021/ACC-%20Quarter%204%20December%2031st%202021.xlsx" TargetMode="External"/><Relationship Id="rId1" Type="http://schemas.openxmlformats.org/officeDocument/2006/relationships/externalLinkPath" Target="/Statutory%20Bodies%20Quarterly%20Reports/Anguilla%20Community%20College/2021/ACC-%20Quarter%204%20December%2031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nancial Position"/>
      <sheetName val="Income Statement"/>
      <sheetName val="Financial Ratios"/>
      <sheetName val="BAL Q1-Q4"/>
      <sheetName val="INC Q1 -Q4"/>
    </sheetNames>
    <sheetDataSet>
      <sheetData sheetId="0"/>
      <sheetData sheetId="1"/>
      <sheetData sheetId="2"/>
      <sheetData sheetId="3">
        <row r="17">
          <cell r="D17">
            <v>200</v>
          </cell>
        </row>
      </sheetData>
      <sheetData sheetId="4">
        <row r="26">
          <cell r="E26">
            <v>10075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V79"/>
  <sheetViews>
    <sheetView view="pageBreakPreview" zoomScale="70" zoomScaleNormal="70" zoomScaleSheetLayoutView="70" workbookViewId="0">
      <pane ySplit="1" topLeftCell="A2" activePane="bottomLeft" state="frozen"/>
      <selection pane="bottomLeft" activeCell="H16" sqref="H16"/>
    </sheetView>
  </sheetViews>
  <sheetFormatPr defaultColWidth="8.85546875" defaultRowHeight="15.75" customHeight="1" x14ac:dyDescent="0.3"/>
  <cols>
    <col min="1" max="1" width="64.42578125" style="46" customWidth="1"/>
    <col min="2" max="2" width="20.85546875" style="379" customWidth="1"/>
    <col min="3" max="4" width="18.7109375" style="379" customWidth="1"/>
    <col min="5" max="5" width="18.7109375" style="636" customWidth="1"/>
    <col min="6" max="6" width="18.7109375" style="379" customWidth="1"/>
    <col min="7" max="7" width="18.7109375" style="722" customWidth="1"/>
    <col min="8" max="9" width="18.7109375" style="379" customWidth="1"/>
    <col min="10" max="10" width="15.85546875" style="45" customWidth="1"/>
    <col min="11" max="11" width="18.7109375" style="1685" customWidth="1"/>
    <col min="12" max="12" width="18.7109375" style="379" customWidth="1"/>
    <col min="13" max="13" width="14.85546875" style="46" customWidth="1"/>
    <col min="14" max="233" width="8.85546875" style="46" customWidth="1"/>
    <col min="234" max="16384" width="8.85546875" style="46"/>
  </cols>
  <sheetData>
    <row r="1" spans="1:22" ht="18.75" customHeight="1" x14ac:dyDescent="0.3">
      <c r="A1" s="1731" t="s">
        <v>49</v>
      </c>
      <c r="B1" s="1732"/>
      <c r="C1" s="1733"/>
      <c r="D1" s="654"/>
    </row>
    <row r="2" spans="1:22" ht="18.75" customHeight="1" x14ac:dyDescent="0.3">
      <c r="A2" s="47"/>
      <c r="B2" s="354"/>
      <c r="C2" s="327"/>
      <c r="D2" s="327"/>
    </row>
    <row r="3" spans="1:22" s="49" customFormat="1" ht="18.75" customHeight="1" x14ac:dyDescent="0.3">
      <c r="A3" s="1729" t="s">
        <v>133</v>
      </c>
      <c r="B3" s="1730"/>
      <c r="C3" s="1730"/>
      <c r="D3" s="655"/>
      <c r="E3" s="732"/>
      <c r="F3" s="649"/>
      <c r="G3" s="722"/>
      <c r="H3" s="649"/>
      <c r="I3" s="649"/>
      <c r="J3" s="48"/>
      <c r="K3" s="1685"/>
      <c r="L3" s="649"/>
    </row>
    <row r="4" spans="1:22" ht="18.75" customHeight="1" x14ac:dyDescent="0.3">
      <c r="A4" s="1734" t="s">
        <v>0</v>
      </c>
      <c r="B4" s="1735"/>
      <c r="C4" s="1735"/>
      <c r="D4" s="656"/>
    </row>
    <row r="5" spans="1:22" ht="18.75" customHeight="1" x14ac:dyDescent="0.3">
      <c r="A5" s="1734" t="s">
        <v>1</v>
      </c>
      <c r="B5" s="1735"/>
      <c r="C5" s="1736"/>
      <c r="D5" s="656"/>
    </row>
    <row r="6" spans="1:22" ht="18.75" customHeight="1" x14ac:dyDescent="0.3">
      <c r="A6" s="1729" t="s">
        <v>191</v>
      </c>
      <c r="B6" s="1730"/>
      <c r="C6" s="1737"/>
      <c r="D6" s="655"/>
      <c r="E6" s="1728"/>
      <c r="F6" s="1728"/>
      <c r="G6" s="1728"/>
      <c r="H6" s="1728"/>
      <c r="I6" s="1728"/>
      <c r="J6" s="1728"/>
      <c r="K6" s="1728"/>
      <c r="L6" s="1728"/>
      <c r="M6" s="1728"/>
      <c r="N6" s="1728"/>
      <c r="O6" s="1728"/>
      <c r="P6" s="1728"/>
      <c r="Q6" s="1728"/>
      <c r="R6" s="1728"/>
      <c r="S6" s="1728"/>
      <c r="T6" s="1728"/>
      <c r="U6" s="1728"/>
      <c r="V6" s="1728"/>
    </row>
    <row r="7" spans="1:22" ht="18.75" customHeight="1" x14ac:dyDescent="0.3">
      <c r="A7" s="1729" t="s">
        <v>2</v>
      </c>
      <c r="B7" s="1730"/>
      <c r="C7" s="1730"/>
      <c r="D7" s="655"/>
    </row>
    <row r="8" spans="1:22" ht="16.5" customHeight="1" thickBot="1" x14ac:dyDescent="0.35">
      <c r="A8" s="50"/>
      <c r="B8" s="656" t="s">
        <v>136</v>
      </c>
      <c r="C8" s="656" t="s">
        <v>141</v>
      </c>
      <c r="D8" s="656" t="s">
        <v>138</v>
      </c>
      <c r="E8" s="733" t="s">
        <v>137</v>
      </c>
      <c r="F8" s="657" t="s">
        <v>158</v>
      </c>
      <c r="G8" s="826" t="s">
        <v>135</v>
      </c>
      <c r="H8" s="657" t="s">
        <v>139</v>
      </c>
      <c r="I8" s="657" t="s">
        <v>134</v>
      </c>
      <c r="J8" s="51" t="s">
        <v>157</v>
      </c>
      <c r="K8" s="968" t="s">
        <v>50</v>
      </c>
      <c r="L8" s="968" t="s">
        <v>140</v>
      </c>
    </row>
    <row r="9" spans="1:22" ht="17.45" customHeight="1" x14ac:dyDescent="0.3">
      <c r="A9" s="52"/>
      <c r="B9" s="658"/>
      <c r="C9" s="1667" t="s">
        <v>3</v>
      </c>
      <c r="D9" s="1667" t="s">
        <v>3</v>
      </c>
      <c r="E9" s="1667" t="s">
        <v>3</v>
      </c>
      <c r="F9" s="1667" t="s">
        <v>3</v>
      </c>
      <c r="G9" s="1667" t="s">
        <v>3</v>
      </c>
      <c r="H9" s="1667" t="s">
        <v>3</v>
      </c>
      <c r="I9" s="1667" t="s">
        <v>3</v>
      </c>
      <c r="J9" s="1667" t="s">
        <v>3</v>
      </c>
      <c r="K9" s="1686" t="s">
        <v>3</v>
      </c>
      <c r="L9" s="1668" t="s">
        <v>3</v>
      </c>
    </row>
    <row r="10" spans="1:22" s="56" customFormat="1" ht="15" customHeight="1" x14ac:dyDescent="0.3">
      <c r="A10" s="54"/>
      <c r="B10" s="693"/>
      <c r="C10" s="55">
        <v>46022</v>
      </c>
      <c r="D10" s="55">
        <v>46022</v>
      </c>
      <c r="E10" s="55">
        <v>46022</v>
      </c>
      <c r="F10" s="55">
        <v>46022</v>
      </c>
      <c r="G10" s="55">
        <v>46022</v>
      </c>
      <c r="H10" s="55">
        <v>46022</v>
      </c>
      <c r="I10" s="55">
        <v>46022</v>
      </c>
      <c r="J10" s="55">
        <v>46022</v>
      </c>
      <c r="K10" s="1687">
        <v>46022</v>
      </c>
      <c r="L10" s="55">
        <v>46022</v>
      </c>
    </row>
    <row r="11" spans="1:22" ht="15" customHeight="1" thickBot="1" x14ac:dyDescent="0.35">
      <c r="A11" s="57"/>
      <c r="B11" s="659"/>
      <c r="C11" s="650" t="s">
        <v>107</v>
      </c>
      <c r="D11" s="650" t="s">
        <v>107</v>
      </c>
      <c r="E11" s="650" t="s">
        <v>107</v>
      </c>
      <c r="F11" s="650" t="s">
        <v>107</v>
      </c>
      <c r="G11" s="827" t="s">
        <v>107</v>
      </c>
      <c r="H11" s="650" t="s">
        <v>107</v>
      </c>
      <c r="I11" s="650" t="s">
        <v>107</v>
      </c>
      <c r="J11" s="58" t="s">
        <v>107</v>
      </c>
      <c r="K11" s="969" t="s">
        <v>107</v>
      </c>
      <c r="L11" s="969" t="s">
        <v>107</v>
      </c>
    </row>
    <row r="12" spans="1:22" ht="15" customHeight="1" x14ac:dyDescent="0.3">
      <c r="A12" s="59" t="s">
        <v>4</v>
      </c>
      <c r="B12" s="336"/>
      <c r="C12" s="336"/>
      <c r="D12" s="336"/>
      <c r="E12" s="668"/>
      <c r="F12" s="336"/>
      <c r="G12" s="723"/>
      <c r="H12" s="336"/>
      <c r="I12" s="336"/>
      <c r="J12" s="60"/>
      <c r="K12" s="661"/>
      <c r="L12" s="661"/>
    </row>
    <row r="13" spans="1:22" ht="15" customHeight="1" x14ac:dyDescent="0.3">
      <c r="A13" s="61" t="s">
        <v>5</v>
      </c>
      <c r="B13" s="341"/>
      <c r="C13" s="341"/>
      <c r="D13" s="341"/>
      <c r="E13" s="632"/>
      <c r="F13" s="341"/>
      <c r="G13" s="724"/>
      <c r="H13" s="341"/>
      <c r="I13" s="341"/>
      <c r="J13" s="63"/>
      <c r="K13" s="662"/>
      <c r="L13" s="662"/>
    </row>
    <row r="14" spans="1:22" ht="15" customHeight="1" x14ac:dyDescent="0.3">
      <c r="A14" s="64" t="s">
        <v>6</v>
      </c>
      <c r="B14" s="341">
        <f t="shared" ref="B14:B19" si="0">C14+D14+E14+F14+G14+H14+I14+J14+K14+L14</f>
        <v>70174899.525222003</v>
      </c>
      <c r="C14" s="341">
        <f>'ADB Fin. Postition '!E14</f>
        <v>8648895</v>
      </c>
      <c r="D14" s="341">
        <f>'ATB Fin. Position'!E14</f>
        <v>518808.25</v>
      </c>
      <c r="E14" s="341">
        <f>'AASPA Fin. Position'!E14</f>
        <v>8238516.9942599973</v>
      </c>
      <c r="F14" s="341">
        <f>'ACC Fin. Position'!E14</f>
        <v>3611518.38</v>
      </c>
      <c r="G14" s="341">
        <f>'ANT Fin. Position'!E14</f>
        <v>2162846.83</v>
      </c>
      <c r="H14" s="341">
        <f>'PSPF Fin. Position'!E14</f>
        <v>6434662.5899999999</v>
      </c>
      <c r="I14" s="341">
        <f>'AFSC Fin. Position'!E14</f>
        <v>24295506.460962001</v>
      </c>
      <c r="J14" s="341">
        <f>'PUC Fin. Position'!E14</f>
        <v>638050.68000000005</v>
      </c>
      <c r="K14" s="662">
        <f>'ASSB Fin. Position'!E14</f>
        <v>15626094.34</v>
      </c>
      <c r="L14" s="662"/>
      <c r="M14" s="65"/>
    </row>
    <row r="15" spans="1:22" ht="15" customHeight="1" x14ac:dyDescent="0.3">
      <c r="A15" s="66" t="s">
        <v>7</v>
      </c>
      <c r="B15" s="341">
        <f t="shared" si="0"/>
        <v>9544214.120000001</v>
      </c>
      <c r="C15" s="341">
        <f>'ADB Fin. Postition '!E15</f>
        <v>0</v>
      </c>
      <c r="D15" s="341">
        <f>'ATB Fin. Position'!E15</f>
        <v>1962969.57</v>
      </c>
      <c r="E15" s="341">
        <f>'AASPA Fin. Position'!E15</f>
        <v>3714410.9</v>
      </c>
      <c r="F15" s="341">
        <f>'ACC Fin. Position'!E15</f>
        <v>548920.15000000014</v>
      </c>
      <c r="G15" s="341">
        <f>'ANT Fin. Position'!E15</f>
        <v>0</v>
      </c>
      <c r="H15" s="341">
        <f>'PSPF Fin. Position'!E15</f>
        <v>10588.78</v>
      </c>
      <c r="I15" s="341">
        <f>'AFSC Fin. Position'!E15</f>
        <v>0</v>
      </c>
      <c r="J15" s="341">
        <f>'PUC Fin. Position'!E15</f>
        <v>325223</v>
      </c>
      <c r="K15" s="662">
        <f>'ASSB Fin. Position'!E15</f>
        <v>2982101.72</v>
      </c>
      <c r="L15" s="662"/>
    </row>
    <row r="16" spans="1:22" ht="15" customHeight="1" x14ac:dyDescent="0.3">
      <c r="A16" s="66" t="s">
        <v>8</v>
      </c>
      <c r="B16" s="341">
        <f t="shared" si="0"/>
        <v>5089918.1411199998</v>
      </c>
      <c r="C16" s="341">
        <f>'ADB Fin. Postition '!E16</f>
        <v>0</v>
      </c>
      <c r="D16" s="341">
        <f>'ATB Fin. Position'!E16</f>
        <v>495261.44</v>
      </c>
      <c r="E16" s="341">
        <f>'AASPA Fin. Position'!E16</f>
        <v>826101.41000000015</v>
      </c>
      <c r="F16" s="341">
        <f>'ACC Fin. Position'!E16</f>
        <v>51524.97</v>
      </c>
      <c r="G16" s="341">
        <f>'ANT Fin. Position'!E16</f>
        <v>0</v>
      </c>
      <c r="H16" s="341">
        <f>'PSPF Fin. Position'!E16</f>
        <v>0</v>
      </c>
      <c r="I16" s="341">
        <f>'AFSC Fin. Position'!E16</f>
        <v>141941.26112000001</v>
      </c>
      <c r="J16" s="341">
        <f>'PUC Fin. Position'!E16</f>
        <v>0</v>
      </c>
      <c r="K16" s="662">
        <f>'ASSB Fin. Position'!E16</f>
        <v>3575089.06</v>
      </c>
      <c r="L16" s="662"/>
    </row>
    <row r="17" spans="1:12" ht="15" customHeight="1" x14ac:dyDescent="0.3">
      <c r="A17" s="66" t="s">
        <v>9</v>
      </c>
      <c r="B17" s="341">
        <f t="shared" si="0"/>
        <v>141379.70000000001</v>
      </c>
      <c r="C17" s="341">
        <f>'ADB Fin. Postition '!E17</f>
        <v>0</v>
      </c>
      <c r="D17" s="341">
        <f>'ATB Fin. Position'!E17</f>
        <v>0</v>
      </c>
      <c r="E17" s="341">
        <f>'AASPA Fin. Position'!E17</f>
        <v>0</v>
      </c>
      <c r="F17" s="341">
        <f>'ACC Fin. Position'!E17</f>
        <v>0</v>
      </c>
      <c r="G17" s="341">
        <f>'ANT Fin. Position'!E17</f>
        <v>0</v>
      </c>
      <c r="H17" s="341">
        <f>'PSPF Fin. Position'!E17</f>
        <v>0</v>
      </c>
      <c r="I17" s="341">
        <f>'AFSC Fin. Position'!E17</f>
        <v>0</v>
      </c>
      <c r="J17" s="341">
        <f>'PUC Fin. Position'!E17</f>
        <v>0</v>
      </c>
      <c r="K17" s="662">
        <f>'ASSB Fin. Position'!E17</f>
        <v>141379.70000000001</v>
      </c>
      <c r="L17" s="662"/>
    </row>
    <row r="18" spans="1:12" ht="15" customHeight="1" x14ac:dyDescent="0.3">
      <c r="A18" s="66" t="s">
        <v>10</v>
      </c>
      <c r="B18" s="341">
        <f t="shared" si="0"/>
        <v>5558270.0501259994</v>
      </c>
      <c r="C18" s="341">
        <f>'ADB Fin. Postition '!E18</f>
        <v>1238580</v>
      </c>
      <c r="D18" s="341">
        <f>'ATB Fin. Position'!E18</f>
        <v>-688113.84000000008</v>
      </c>
      <c r="E18" s="341">
        <f>'AASPA Fin. Position'!E18</f>
        <v>0</v>
      </c>
      <c r="F18" s="341">
        <f>'ACC Fin. Position'!E18</f>
        <v>2859.79</v>
      </c>
      <c r="G18" s="341">
        <f>'ANT Fin. Position'!E18</f>
        <v>0</v>
      </c>
      <c r="H18" s="341">
        <f>'PSPF Fin. Position'!E18</f>
        <v>-7442.46</v>
      </c>
      <c r="I18" s="341">
        <f>'AFSC Fin. Position'!E18</f>
        <v>19170.71012600002</v>
      </c>
      <c r="J18" s="341">
        <f>'PUC Fin. Position'!E18</f>
        <v>0</v>
      </c>
      <c r="K18" s="662">
        <f>'ASSB Fin. Position'!E18</f>
        <v>4993215.8499999996</v>
      </c>
      <c r="L18" s="662"/>
    </row>
    <row r="19" spans="1:12" ht="15" customHeight="1" thickBot="1" x14ac:dyDescent="0.35">
      <c r="A19" s="67" t="s">
        <v>11</v>
      </c>
      <c r="B19" s="341">
        <f t="shared" si="0"/>
        <v>222149.15000000002</v>
      </c>
      <c r="C19" s="341">
        <f>'ADB Fin. Postition '!E19</f>
        <v>0</v>
      </c>
      <c r="D19" s="341">
        <f>'ATB Fin. Position'!E19</f>
        <v>0</v>
      </c>
      <c r="E19" s="341">
        <f>'AASPA Fin. Position'!E19</f>
        <v>11425.64</v>
      </c>
      <c r="F19" s="341">
        <f>'ACC Fin. Position'!E19</f>
        <v>0</v>
      </c>
      <c r="G19" s="341">
        <f>'ANT Fin. Position'!E19</f>
        <v>0</v>
      </c>
      <c r="H19" s="341">
        <f>'PSPF Fin. Position'!E19</f>
        <v>0</v>
      </c>
      <c r="I19" s="341">
        <f>'AFSC Fin. Position'!E19</f>
        <v>0</v>
      </c>
      <c r="J19" s="341">
        <f>'PUC Fin. Position'!E19</f>
        <v>0</v>
      </c>
      <c r="K19" s="662">
        <f>'ASSB Fin. Position'!E19</f>
        <v>210723.51</v>
      </c>
      <c r="L19" s="970"/>
    </row>
    <row r="20" spans="1:12" ht="15" customHeight="1" thickBot="1" x14ac:dyDescent="0.35">
      <c r="A20" s="737" t="s">
        <v>12</v>
      </c>
      <c r="B20" s="738">
        <f>SUM(B14:B19)</f>
        <v>90730830.68646802</v>
      </c>
      <c r="C20" s="738">
        <f t="shared" ref="C20:L20" si="1">SUM(C14:C19)</f>
        <v>9887475</v>
      </c>
      <c r="D20" s="738">
        <f t="shared" si="1"/>
        <v>2288925.42</v>
      </c>
      <c r="E20" s="738">
        <f t="shared" si="1"/>
        <v>12790454.944259997</v>
      </c>
      <c r="F20" s="738">
        <f t="shared" si="1"/>
        <v>4214823.29</v>
      </c>
      <c r="G20" s="828">
        <f>SUM(G14:G19)</f>
        <v>2162846.83</v>
      </c>
      <c r="H20" s="738">
        <f>SUM(H14:H19)</f>
        <v>6437808.9100000001</v>
      </c>
      <c r="I20" s="738">
        <f t="shared" si="1"/>
        <v>24456618.432208002</v>
      </c>
      <c r="J20" s="738">
        <f>SUM(J14:J19)</f>
        <v>963273.68</v>
      </c>
      <c r="K20" s="971">
        <f t="shared" si="1"/>
        <v>27528604.179999996</v>
      </c>
      <c r="L20" s="971">
        <f t="shared" si="1"/>
        <v>0</v>
      </c>
    </row>
    <row r="21" spans="1:12" ht="15" customHeight="1" x14ac:dyDescent="0.3">
      <c r="A21" s="68"/>
      <c r="B21" s="652"/>
      <c r="C21" s="652"/>
      <c r="D21" s="336"/>
      <c r="E21" s="734"/>
      <c r="F21" s="652"/>
      <c r="G21" s="723"/>
      <c r="H21" s="652"/>
      <c r="I21" s="668"/>
      <c r="J21" s="1108"/>
      <c r="K21" s="661"/>
      <c r="L21" s="661"/>
    </row>
    <row r="22" spans="1:12" ht="15" customHeight="1" x14ac:dyDescent="0.3">
      <c r="A22" s="69" t="s">
        <v>13</v>
      </c>
      <c r="B22" s="352"/>
      <c r="C22" s="352"/>
      <c r="D22" s="341"/>
      <c r="E22" s="368"/>
      <c r="F22" s="352"/>
      <c r="G22" s="725"/>
      <c r="H22" s="352"/>
      <c r="I22" s="639"/>
      <c r="J22" s="636"/>
      <c r="K22" s="662"/>
      <c r="L22" s="662"/>
    </row>
    <row r="23" spans="1:12" ht="15" customHeight="1" x14ac:dyDescent="0.3">
      <c r="A23" s="66" t="s">
        <v>14</v>
      </c>
      <c r="B23" s="341">
        <f t="shared" ref="B23:B29" si="2">C23+D23+E23+F23+G23+H23+I23+J23+K23+L23</f>
        <v>152243938.6313687</v>
      </c>
      <c r="C23" s="587">
        <f>'ADB Fin. Postition '!E23</f>
        <v>0</v>
      </c>
      <c r="D23" s="587">
        <f>'ATB Fin. Position'!E23</f>
        <v>0</v>
      </c>
      <c r="E23" s="368">
        <f>'AASPA Fin. Position'!E23</f>
        <v>152243938.6313687</v>
      </c>
      <c r="F23" s="352">
        <f>'ACC Fin. Position'!E23</f>
        <v>0</v>
      </c>
      <c r="G23" s="830">
        <f>'ANT Fin. Position'!E23</f>
        <v>0</v>
      </c>
      <c r="H23" s="352">
        <f>'PSPF Fin. Position'!E23</f>
        <v>0</v>
      </c>
      <c r="I23" s="341">
        <f>'AFSC Fin. Position'!E23</f>
        <v>0</v>
      </c>
      <c r="J23" s="636">
        <f>'PUC Fin. Position'!E23</f>
        <v>0</v>
      </c>
      <c r="K23" s="662">
        <f>'ASSB Fin. Position'!E23</f>
        <v>0</v>
      </c>
      <c r="L23" s="662"/>
    </row>
    <row r="24" spans="1:12" ht="15" customHeight="1" x14ac:dyDescent="0.3">
      <c r="A24" s="66" t="s">
        <v>15</v>
      </c>
      <c r="B24" s="341">
        <f t="shared" si="2"/>
        <v>22068873.379999999</v>
      </c>
      <c r="C24" s="587">
        <f>'ADB Fin. Postition '!E24</f>
        <v>0</v>
      </c>
      <c r="D24" s="587">
        <f>'ATB Fin. Position'!E24</f>
        <v>0</v>
      </c>
      <c r="E24" s="368">
        <f>'AASPA Fin. Position'!E24</f>
        <v>0</v>
      </c>
      <c r="F24" s="352">
        <f>'ACC Fin. Position'!E24</f>
        <v>0</v>
      </c>
      <c r="G24" s="830">
        <f>'ANT Fin. Position'!E24</f>
        <v>0</v>
      </c>
      <c r="H24" s="352">
        <f>'PSPF Fin. Position'!E24</f>
        <v>0</v>
      </c>
      <c r="I24" s="341">
        <f>'AFSC Fin. Position'!E24</f>
        <v>0</v>
      </c>
      <c r="J24" s="636">
        <f>'PUC Fin. Position'!E24</f>
        <v>0</v>
      </c>
      <c r="K24" s="662">
        <f>'ASSB Fin. Position'!E24</f>
        <v>22068873.379999999</v>
      </c>
      <c r="L24" s="662"/>
    </row>
    <row r="25" spans="1:12" ht="15" customHeight="1" x14ac:dyDescent="0.3">
      <c r="A25" s="66" t="s">
        <v>16</v>
      </c>
      <c r="B25" s="341">
        <f t="shared" si="2"/>
        <v>173661888.61000001</v>
      </c>
      <c r="C25" s="587">
        <f>'ADB Fin. Postition '!E25</f>
        <v>0</v>
      </c>
      <c r="D25" s="587">
        <f>'ATB Fin. Position'!E25</f>
        <v>0</v>
      </c>
      <c r="E25" s="368">
        <f>'AASPA Fin. Position'!E25</f>
        <v>0</v>
      </c>
      <c r="F25" s="352">
        <f>'ACC Fin. Position'!E25</f>
        <v>0</v>
      </c>
      <c r="G25" s="830">
        <f>'ANT Fin. Position'!E25</f>
        <v>0</v>
      </c>
      <c r="H25" s="352">
        <f>'PSPF Fin. Position'!E25</f>
        <v>0</v>
      </c>
      <c r="I25" s="341">
        <f>'AFSC Fin. Position'!E25</f>
        <v>0</v>
      </c>
      <c r="J25" s="636">
        <f>'PUC Fin. Position'!E25</f>
        <v>0</v>
      </c>
      <c r="K25" s="662">
        <f>'ASSB Fin. Position'!E25</f>
        <v>173661888.61000001</v>
      </c>
      <c r="L25" s="662"/>
    </row>
    <row r="26" spans="1:12" ht="15" customHeight="1" x14ac:dyDescent="0.3">
      <c r="A26" s="66" t="s">
        <v>17</v>
      </c>
      <c r="B26" s="341">
        <f t="shared" si="2"/>
        <v>57293985.76574</v>
      </c>
      <c r="C26" s="587">
        <f>'ADB Fin. Postition '!E26</f>
        <v>0</v>
      </c>
      <c r="D26" s="587">
        <f>'ATB Fin. Position'!E26</f>
        <v>0</v>
      </c>
      <c r="E26" s="368">
        <f>'AASPA Fin. Position'!E26</f>
        <v>16606814.375740001</v>
      </c>
      <c r="F26" s="352">
        <f>'ACC Fin. Position'!E26</f>
        <v>355745.5</v>
      </c>
      <c r="G26" s="830">
        <f>'ANT Fin. Position'!E26</f>
        <v>235180.35</v>
      </c>
      <c r="H26" s="352">
        <f>'PSPF Fin. Position'!E26</f>
        <v>13629949.449999999</v>
      </c>
      <c r="I26" s="341">
        <f>'AFSC Fin. Position'!E26</f>
        <v>0</v>
      </c>
      <c r="J26" s="636">
        <f>'PUC Fin. Position'!E26</f>
        <v>245198.7</v>
      </c>
      <c r="K26" s="662">
        <f>'ASSB Fin. Position'!E26</f>
        <v>26221097.390000001</v>
      </c>
      <c r="L26" s="662"/>
    </row>
    <row r="27" spans="1:12" ht="15" customHeight="1" x14ac:dyDescent="0.3">
      <c r="A27" s="66" t="s">
        <v>119</v>
      </c>
      <c r="B27" s="341">
        <f t="shared" si="2"/>
        <v>18303719</v>
      </c>
      <c r="C27" s="587">
        <f>'ADB Fin. Postition '!E27</f>
        <v>10468913</v>
      </c>
      <c r="D27" s="587">
        <f>'ATB Fin. Position'!E27</f>
        <v>0</v>
      </c>
      <c r="E27" s="368">
        <f>'AASPA Fin. Position'!E27</f>
        <v>0</v>
      </c>
      <c r="F27" s="352">
        <f>'ACC Fin. Position'!E27</f>
        <v>0</v>
      </c>
      <c r="G27" s="830">
        <f>'ANT Fin. Position'!E27</f>
        <v>0</v>
      </c>
      <c r="H27" s="352">
        <f>'PSPF Fin. Position'!E27</f>
        <v>7826246.6299999999</v>
      </c>
      <c r="I27" s="341">
        <f>'AFSC Fin. Position'!E27</f>
        <v>0</v>
      </c>
      <c r="J27" s="636">
        <f>'PUC Fin. Position'!E27</f>
        <v>0</v>
      </c>
      <c r="K27" s="662">
        <f>'ASSB Fin. Position'!E27</f>
        <v>8559.3700000000008</v>
      </c>
      <c r="L27" s="662"/>
    </row>
    <row r="28" spans="1:12" ht="15" customHeight="1" x14ac:dyDescent="0.3">
      <c r="A28" s="66" t="s">
        <v>118</v>
      </c>
      <c r="B28" s="341">
        <f t="shared" si="2"/>
        <v>168988662.42000002</v>
      </c>
      <c r="C28" s="587">
        <f>'ADB Fin. Postition '!E28</f>
        <v>0</v>
      </c>
      <c r="D28" s="587">
        <f>'ATB Fin. Position'!E28</f>
        <v>0</v>
      </c>
      <c r="E28" s="368">
        <f>'AASPA Fin. Position'!E28</f>
        <v>0</v>
      </c>
      <c r="F28" s="352">
        <f>'ACC Fin. Position'!E28</f>
        <v>0</v>
      </c>
      <c r="G28" s="830">
        <f>'ANT Fin. Position'!E28</f>
        <v>0</v>
      </c>
      <c r="H28" s="352">
        <f>'PSPF Fin. Position'!E28</f>
        <v>4676897.59</v>
      </c>
      <c r="I28" s="341">
        <f>'AFSC Fin. Position'!E28</f>
        <v>0</v>
      </c>
      <c r="J28" s="636">
        <f>'PUC Fin. Position'!E28</f>
        <v>0</v>
      </c>
      <c r="K28" s="662">
        <f>'ASSB Fin. Position'!E28</f>
        <v>164311764.83000001</v>
      </c>
      <c r="L28" s="662"/>
    </row>
    <row r="29" spans="1:12" ht="15" customHeight="1" thickBot="1" x14ac:dyDescent="0.35">
      <c r="A29" s="67" t="s">
        <v>18</v>
      </c>
      <c r="B29" s="341">
        <f t="shared" si="2"/>
        <v>5443370.9299999997</v>
      </c>
      <c r="C29" s="587">
        <f>'ADB Fin. Postition '!E29</f>
        <v>0</v>
      </c>
      <c r="D29" s="587">
        <f>'ATB Fin. Position'!E29</f>
        <v>0</v>
      </c>
      <c r="E29" s="368">
        <f>'AASPA Fin. Position'!E29</f>
        <v>0</v>
      </c>
      <c r="F29" s="352">
        <f>'ACC Fin. Position'!E29</f>
        <v>0</v>
      </c>
      <c r="G29" s="830">
        <f>'ANT Fin. Position'!E29</f>
        <v>0</v>
      </c>
      <c r="H29" s="352">
        <f>'PSPF Fin. Position'!E29</f>
        <v>0</v>
      </c>
      <c r="I29" s="341">
        <f>'AFSC Fin. Position'!E29</f>
        <v>0</v>
      </c>
      <c r="J29" s="636">
        <f>'PUC Fin. Position'!E29</f>
        <v>0</v>
      </c>
      <c r="K29" s="662">
        <f>'ASSB Fin. Position'!E29</f>
        <v>5443370.9299999997</v>
      </c>
      <c r="L29" s="970"/>
    </row>
    <row r="30" spans="1:12" ht="15" customHeight="1" thickBot="1" x14ac:dyDescent="0.35">
      <c r="A30" s="739" t="s">
        <v>19</v>
      </c>
      <c r="B30" s="740">
        <f t="shared" ref="B30:L30" si="3">SUM(B23:B29)</f>
        <v>598004438.73710859</v>
      </c>
      <c r="C30" s="740">
        <f t="shared" si="3"/>
        <v>10468913</v>
      </c>
      <c r="D30" s="740">
        <f t="shared" si="3"/>
        <v>0</v>
      </c>
      <c r="E30" s="740">
        <f t="shared" si="3"/>
        <v>168850753.00710869</v>
      </c>
      <c r="F30" s="740">
        <f t="shared" si="3"/>
        <v>355745.5</v>
      </c>
      <c r="G30" s="829">
        <f t="shared" si="3"/>
        <v>235180.35</v>
      </c>
      <c r="H30" s="829">
        <f t="shared" si="3"/>
        <v>26133093.669999998</v>
      </c>
      <c r="I30" s="829">
        <f t="shared" si="3"/>
        <v>0</v>
      </c>
      <c r="J30" s="829">
        <f>SUM(J23:J29)</f>
        <v>245198.7</v>
      </c>
      <c r="K30" s="972">
        <f t="shared" si="3"/>
        <v>391715554.51000005</v>
      </c>
      <c r="L30" s="972">
        <f t="shared" si="3"/>
        <v>0</v>
      </c>
    </row>
    <row r="31" spans="1:12" ht="15" customHeight="1" x14ac:dyDescent="0.3">
      <c r="A31" s="70"/>
      <c r="B31" s="652"/>
      <c r="C31" s="336"/>
      <c r="D31" s="336"/>
      <c r="E31" s="668"/>
      <c r="F31" s="336"/>
      <c r="G31" s="831"/>
      <c r="H31" s="832"/>
      <c r="I31" s="833"/>
      <c r="J31" s="1109"/>
      <c r="K31" s="1688"/>
      <c r="L31" s="661"/>
    </row>
    <row r="32" spans="1:12" ht="15" customHeight="1" x14ac:dyDescent="0.3">
      <c r="A32" s="71" t="s">
        <v>20</v>
      </c>
      <c r="B32" s="352"/>
      <c r="D32" s="352"/>
      <c r="E32" s="368"/>
      <c r="F32" s="352"/>
      <c r="G32" s="834"/>
      <c r="H32" s="830"/>
      <c r="I32" s="835"/>
      <c r="J32" s="1110"/>
      <c r="K32" s="1689"/>
      <c r="L32" s="662"/>
    </row>
    <row r="33" spans="1:12" ht="15" customHeight="1" x14ac:dyDescent="0.3">
      <c r="A33" s="72" t="s">
        <v>21</v>
      </c>
      <c r="B33" s="341">
        <f t="shared" ref="B33:B38" si="4">C33+D33+E33+F33+G33+H33+I33+J33+K33+L33</f>
        <v>38282218.913532704</v>
      </c>
      <c r="C33" s="352">
        <f>'ADB Fin. Postition '!E33</f>
        <v>0</v>
      </c>
      <c r="D33" s="352">
        <f>'ATB Fin. Position'!E33</f>
        <v>569642.54</v>
      </c>
      <c r="E33" s="368">
        <f>'AASPA Fin. Position'!E33</f>
        <v>20609044.886906702</v>
      </c>
      <c r="F33" s="352">
        <f>'ACC Fin. Position'!E33</f>
        <v>6210900.8200000012</v>
      </c>
      <c r="G33" s="830">
        <f>'ANT Fin. Position'!E33</f>
        <v>4853688</v>
      </c>
      <c r="H33" s="830">
        <f>'PSPF Fin. Position'!E33</f>
        <v>0</v>
      </c>
      <c r="I33" s="835">
        <f>'AFSC Fin. Position'!E33</f>
        <v>76919.966626000009</v>
      </c>
      <c r="J33" s="1110">
        <f>'PUC Fin. Position'!E33</f>
        <v>0</v>
      </c>
      <c r="K33" s="662">
        <f>'ASSB Fin. Position'!E33</f>
        <v>5962022.7000000002</v>
      </c>
      <c r="L33" s="662"/>
    </row>
    <row r="34" spans="1:12" ht="15" customHeight="1" x14ac:dyDescent="0.3">
      <c r="A34" s="72" t="s">
        <v>22</v>
      </c>
      <c r="B34" s="341">
        <f t="shared" si="4"/>
        <v>1583641.6145720002</v>
      </c>
      <c r="C34" s="352">
        <f>'ADB Fin. Postition '!E34</f>
        <v>73309</v>
      </c>
      <c r="D34" s="352">
        <f>'ATB Fin. Position'!E34</f>
        <v>102309.32</v>
      </c>
      <c r="E34" s="368">
        <f>'AASPA Fin. Position'!E34</f>
        <v>773213.55</v>
      </c>
      <c r="F34" s="352">
        <f>'ACC Fin. Position'!E34</f>
        <v>38786.75</v>
      </c>
      <c r="G34" s="830">
        <f>'ANT Fin. Position'!E34</f>
        <v>0</v>
      </c>
      <c r="H34" s="830">
        <f>'PSPF Fin. Position'!E34</f>
        <v>1183.8099999999977</v>
      </c>
      <c r="I34" s="835">
        <f>'AFSC Fin. Position'!E34</f>
        <v>56695.374572000001</v>
      </c>
      <c r="J34" s="1110">
        <f>'PUC Fin. Position'!E34</f>
        <v>79094.59</v>
      </c>
      <c r="K34" s="662">
        <f>'ASSB Fin. Position'!E34</f>
        <v>459049.22</v>
      </c>
      <c r="L34" s="662"/>
    </row>
    <row r="35" spans="1:12" ht="15" customHeight="1" x14ac:dyDescent="0.3">
      <c r="A35" s="72" t="s">
        <v>23</v>
      </c>
      <c r="B35" s="341">
        <f t="shared" si="4"/>
        <v>749279.76</v>
      </c>
      <c r="C35" s="352">
        <f>'ADB Fin. Postition '!E35</f>
        <v>0</v>
      </c>
      <c r="D35" s="352">
        <f>'ATB Fin. Position'!E35</f>
        <v>15743.03</v>
      </c>
      <c r="E35" s="368">
        <f>'AASPA Fin. Position'!E35</f>
        <v>690097.11</v>
      </c>
      <c r="F35" s="352">
        <f>'ACC Fin. Position'!E35</f>
        <v>0</v>
      </c>
      <c r="G35" s="830">
        <f>'ANT Fin. Position'!E35</f>
        <v>0</v>
      </c>
      <c r="H35" s="830">
        <f>'PSPF Fin. Position'!E35</f>
        <v>14594.870000000003</v>
      </c>
      <c r="I35" s="835">
        <f>'AFSC Fin. Position'!E35</f>
        <v>0</v>
      </c>
      <c r="J35" s="1110">
        <f>'PUC Fin. Position'!E35</f>
        <v>28844.75</v>
      </c>
      <c r="K35" s="662">
        <f>'ASSB Fin. Position'!E35</f>
        <v>0</v>
      </c>
      <c r="L35" s="662"/>
    </row>
    <row r="36" spans="1:12" ht="15" customHeight="1" x14ac:dyDescent="0.3">
      <c r="A36" s="72" t="s">
        <v>24</v>
      </c>
      <c r="B36" s="341">
        <f t="shared" si="4"/>
        <v>870084.98769200011</v>
      </c>
      <c r="C36" s="352">
        <f>'ADB Fin. Postition '!E36</f>
        <v>0</v>
      </c>
      <c r="D36" s="352">
        <f>'ATB Fin. Position'!E36</f>
        <v>76503.12</v>
      </c>
      <c r="E36" s="368">
        <f>'AASPA Fin. Position'!E36</f>
        <v>455135.41</v>
      </c>
      <c r="F36" s="352">
        <f>'ACC Fin. Position'!E36</f>
        <v>136831.35000000003</v>
      </c>
      <c r="G36" s="830">
        <f>'ANT Fin. Position'!E36</f>
        <v>0</v>
      </c>
      <c r="H36" s="830">
        <f>'PSPF Fin. Position'!E36</f>
        <v>5511.23</v>
      </c>
      <c r="I36" s="835">
        <f>'AFSC Fin. Position'!E36</f>
        <v>74334.267692000009</v>
      </c>
      <c r="J36" s="1110">
        <f>'PUC Fin. Position'!E36</f>
        <v>4848.6400000000003</v>
      </c>
      <c r="K36" s="662">
        <f>'ASSB Fin. Position'!E36</f>
        <v>116920.97</v>
      </c>
      <c r="L36" s="662"/>
    </row>
    <row r="37" spans="1:12" ht="15" customHeight="1" x14ac:dyDescent="0.3">
      <c r="A37" s="72" t="s">
        <v>25</v>
      </c>
      <c r="B37" s="341">
        <f t="shared" si="4"/>
        <v>3272621.8838940002</v>
      </c>
      <c r="C37" s="352">
        <f>'ADB Fin. Postition '!E37</f>
        <v>0</v>
      </c>
      <c r="D37" s="352">
        <f>'ATB Fin. Position'!E37</f>
        <v>89064.960000000006</v>
      </c>
      <c r="E37" s="368">
        <f>'AASPA Fin. Position'!E37</f>
        <v>3107414.8600000003</v>
      </c>
      <c r="F37" s="352">
        <f>'ACC Fin. Position'!E37</f>
        <v>6.9999999999708962E-2</v>
      </c>
      <c r="G37" s="830">
        <f>'ANT Fin. Position'!E37</f>
        <v>0</v>
      </c>
      <c r="H37" s="830">
        <f>'PSPF Fin. Position'!E37</f>
        <v>0</v>
      </c>
      <c r="I37" s="835">
        <f>'AFSC Fin. Position'!E37</f>
        <v>52163.633893999999</v>
      </c>
      <c r="J37" s="1110">
        <f>'PUC Fin. Position'!E37</f>
        <v>0</v>
      </c>
      <c r="K37" s="662">
        <f>'ASSB Fin. Position'!E37</f>
        <v>23978.36</v>
      </c>
      <c r="L37" s="662"/>
    </row>
    <row r="38" spans="1:12" ht="15" customHeight="1" thickBot="1" x14ac:dyDescent="0.35">
      <c r="A38" s="72" t="s">
        <v>26</v>
      </c>
      <c r="B38" s="341">
        <f t="shared" si="4"/>
        <v>11809932.609392</v>
      </c>
      <c r="C38" s="352">
        <f>'ADB Fin. Postition '!E38</f>
        <v>534600</v>
      </c>
      <c r="D38" s="352">
        <f>'ATB Fin. Position'!E38</f>
        <v>0</v>
      </c>
      <c r="E38" s="368">
        <f>'AASPA Fin. Position'!E38</f>
        <v>3708873.4</v>
      </c>
      <c r="F38" s="352">
        <f>'ACC Fin. Position'!E38</f>
        <v>1667595.49</v>
      </c>
      <c r="G38" s="830">
        <f>'ANT Fin. Position'!E38</f>
        <v>0</v>
      </c>
      <c r="H38" s="830">
        <f>'PSPF Fin. Position'!E38</f>
        <v>86519</v>
      </c>
      <c r="I38" s="835">
        <f>'AFSC Fin. Position'!E38</f>
        <v>2897397.229392</v>
      </c>
      <c r="J38" s="1110">
        <f>'PUC Fin. Position'!E38</f>
        <v>0</v>
      </c>
      <c r="K38" s="662">
        <f>'ASSB Fin. Position'!E38</f>
        <v>2914947.49</v>
      </c>
      <c r="L38" s="662"/>
    </row>
    <row r="39" spans="1:12" ht="15" customHeight="1" thickBot="1" x14ac:dyDescent="0.35">
      <c r="A39" s="737" t="s">
        <v>27</v>
      </c>
      <c r="B39" s="738">
        <f>SUM(B33:B38)</f>
        <v>56567779.76908271</v>
      </c>
      <c r="C39" s="738">
        <f t="shared" ref="C39:L39" si="5">SUM(C33:C38)</f>
        <v>607909</v>
      </c>
      <c r="D39" s="738">
        <f t="shared" si="5"/>
        <v>853262.97000000009</v>
      </c>
      <c r="E39" s="738">
        <f t="shared" si="5"/>
        <v>29343779.2169067</v>
      </c>
      <c r="F39" s="738">
        <f t="shared" si="5"/>
        <v>8054114.4800000014</v>
      </c>
      <c r="G39" s="828">
        <f t="shared" si="5"/>
        <v>4853688</v>
      </c>
      <c r="H39" s="828">
        <f t="shared" si="5"/>
        <v>107808.91</v>
      </c>
      <c r="I39" s="828">
        <f t="shared" si="5"/>
        <v>3157510.472176</v>
      </c>
      <c r="J39" s="828">
        <f>SUM(J33:J38)</f>
        <v>112787.98</v>
      </c>
      <c r="K39" s="971">
        <f t="shared" si="5"/>
        <v>9476918.7400000002</v>
      </c>
      <c r="L39" s="971">
        <f t="shared" si="5"/>
        <v>0</v>
      </c>
    </row>
    <row r="40" spans="1:12" ht="15" customHeight="1" x14ac:dyDescent="0.3">
      <c r="A40" s="73"/>
      <c r="B40" s="652"/>
      <c r="C40" s="652"/>
      <c r="D40" s="651"/>
      <c r="E40" s="735"/>
      <c r="F40" s="651"/>
      <c r="G40" s="831"/>
      <c r="H40" s="836"/>
      <c r="I40" s="836"/>
      <c r="J40" s="1111"/>
      <c r="K40" s="973"/>
      <c r="L40" s="973"/>
    </row>
    <row r="41" spans="1:12" ht="15" customHeight="1" x14ac:dyDescent="0.3">
      <c r="A41" s="74" t="s">
        <v>28</v>
      </c>
      <c r="B41" s="341">
        <f>C41+D41+E41+F41+G41+H41+I41+J41+K41+L41</f>
        <v>2008350.65</v>
      </c>
      <c r="C41" s="341">
        <f>'ADB Fin. Postition '!E41</f>
        <v>0</v>
      </c>
      <c r="D41" s="341">
        <f>'ATB Fin. Position'!E41</f>
        <v>0</v>
      </c>
      <c r="E41" s="632">
        <f>'AASPA Fin. Position'!E41</f>
        <v>384432.47000000003</v>
      </c>
      <c r="F41" s="341">
        <f>'ACC Fin. Position'!E41</f>
        <v>0</v>
      </c>
      <c r="G41" s="830">
        <f>'ANT Fin. Position'!E41</f>
        <v>0</v>
      </c>
      <c r="H41" s="830">
        <f>'PSPF Fin. Position'!E41</f>
        <v>3137.289999999979</v>
      </c>
      <c r="I41" s="830">
        <f>'AFSC Fin. Position'!E41</f>
        <v>0</v>
      </c>
      <c r="J41" s="732">
        <f>'PUC Fin. Position'!E41</f>
        <v>201816.26</v>
      </c>
      <c r="K41" s="662">
        <f>'ASSB Fin. Position'!E41</f>
        <v>1418964.63</v>
      </c>
      <c r="L41" s="662"/>
    </row>
    <row r="42" spans="1:12" ht="15" customHeight="1" thickBot="1" x14ac:dyDescent="0.35">
      <c r="A42" s="75"/>
      <c r="B42" s="369"/>
      <c r="C42" s="369"/>
      <c r="D42" s="369"/>
      <c r="E42" s="648"/>
      <c r="F42" s="369"/>
      <c r="G42" s="837"/>
      <c r="H42" s="838"/>
      <c r="I42" s="838"/>
      <c r="J42" s="1112"/>
      <c r="K42" s="970"/>
      <c r="L42" s="970"/>
    </row>
    <row r="43" spans="1:12" ht="15" customHeight="1" thickBot="1" x14ac:dyDescent="0.35">
      <c r="A43" s="737" t="s">
        <v>29</v>
      </c>
      <c r="B43" s="738">
        <f>B20+B30+B39+B41</f>
        <v>747311399.84265924</v>
      </c>
      <c r="C43" s="738">
        <f t="shared" ref="C43:L43" si="6">C20+C30+C39+C41</f>
        <v>20964297</v>
      </c>
      <c r="D43" s="738">
        <f>D20+D30+D39+D41</f>
        <v>3142188.39</v>
      </c>
      <c r="E43" s="738">
        <f>E20+E30+E39+E41</f>
        <v>211369419.63827538</v>
      </c>
      <c r="F43" s="738">
        <f t="shared" si="6"/>
        <v>12624683.270000001</v>
      </c>
      <c r="G43" s="828">
        <f t="shared" si="6"/>
        <v>7251715.1799999997</v>
      </c>
      <c r="H43" s="828">
        <f>H20+H30+H39+H41</f>
        <v>32681848.779999997</v>
      </c>
      <c r="I43" s="828">
        <f t="shared" si="6"/>
        <v>27614128.904384002</v>
      </c>
      <c r="J43" s="828">
        <f>J20+J30+J39+J41</f>
        <v>1523076.62</v>
      </c>
      <c r="K43" s="971">
        <f t="shared" si="6"/>
        <v>430140042.06000006</v>
      </c>
      <c r="L43" s="971">
        <f t="shared" si="6"/>
        <v>0</v>
      </c>
    </row>
    <row r="44" spans="1:12" ht="15" customHeight="1" x14ac:dyDescent="0.3">
      <c r="A44" s="76"/>
      <c r="B44" s="652"/>
      <c r="C44" s="652"/>
      <c r="D44" s="652"/>
      <c r="E44" s="734"/>
      <c r="F44" s="652"/>
      <c r="G44" s="831"/>
      <c r="H44" s="832"/>
      <c r="I44" s="832"/>
      <c r="J44" s="1111"/>
      <c r="K44" s="661"/>
      <c r="L44" s="661"/>
    </row>
    <row r="45" spans="1:12" ht="15" customHeight="1" x14ac:dyDescent="0.3">
      <c r="A45" s="61" t="s">
        <v>30</v>
      </c>
      <c r="B45" s="341"/>
      <c r="C45" s="352"/>
      <c r="D45" s="352"/>
      <c r="E45" s="368"/>
      <c r="F45" s="352"/>
      <c r="G45" s="834"/>
      <c r="H45" s="830"/>
      <c r="I45" s="830"/>
      <c r="J45" s="732"/>
      <c r="K45" s="662"/>
      <c r="L45" s="662"/>
    </row>
    <row r="46" spans="1:12" ht="15" customHeight="1" x14ac:dyDescent="0.3">
      <c r="A46" s="77"/>
      <c r="B46" s="352"/>
      <c r="C46" s="352"/>
      <c r="D46" s="352"/>
      <c r="E46" s="368"/>
      <c r="F46" s="352"/>
      <c r="G46" s="834"/>
      <c r="H46" s="830"/>
      <c r="I46" s="830"/>
      <c r="J46" s="732"/>
      <c r="K46" s="662"/>
      <c r="L46" s="662"/>
    </row>
    <row r="47" spans="1:12" ht="15" customHeight="1" x14ac:dyDescent="0.3">
      <c r="A47" s="61" t="s">
        <v>31</v>
      </c>
      <c r="B47" s="352"/>
      <c r="C47" s="341"/>
      <c r="D47" s="341"/>
      <c r="E47" s="632"/>
      <c r="F47" s="341"/>
      <c r="G47" s="834"/>
      <c r="H47" s="830"/>
      <c r="I47" s="830"/>
      <c r="J47" s="732"/>
      <c r="K47" s="662"/>
      <c r="L47" s="662"/>
    </row>
    <row r="48" spans="1:12" ht="15" customHeight="1" x14ac:dyDescent="0.3">
      <c r="A48" s="78" t="s">
        <v>32</v>
      </c>
      <c r="B48" s="341">
        <f t="shared" ref="B48:B56" si="7">C48+D48+E48+F48+G48+H48+I48+J48+K48+L48</f>
        <v>8102062.4066300001</v>
      </c>
      <c r="C48" s="590">
        <f>'ADB Fin. Postition '!E48</f>
        <v>183147</v>
      </c>
      <c r="D48" s="352">
        <f>'ATB Fin. Position'!E48</f>
        <v>570676.97</v>
      </c>
      <c r="E48" s="368">
        <f>'AASPA Fin. Position'!E48</f>
        <v>1323913.8800000001</v>
      </c>
      <c r="F48" s="352">
        <f>'ACC Fin. Position'!E48</f>
        <v>108908.09999999999</v>
      </c>
      <c r="G48" s="830">
        <f>'ANT Fin. Position'!E48</f>
        <v>0</v>
      </c>
      <c r="H48" s="830">
        <f>'PSPF Fin. Position'!E48</f>
        <v>64458.97</v>
      </c>
      <c r="I48" s="830">
        <f>'AFSC Fin. Position'!E48</f>
        <v>83030.836630000005</v>
      </c>
      <c r="J48" s="732">
        <f>'PUC Fin. Position'!E48</f>
        <v>66744.14</v>
      </c>
      <c r="K48" s="662">
        <f>'ASSB Fin. Position'!E48</f>
        <v>5701182.5099999998</v>
      </c>
      <c r="L48" s="662"/>
    </row>
    <row r="49" spans="1:12" ht="15" customHeight="1" x14ac:dyDescent="0.3">
      <c r="A49" s="79" t="s">
        <v>50</v>
      </c>
      <c r="B49" s="341">
        <f t="shared" si="7"/>
        <v>-397.47172799999998</v>
      </c>
      <c r="C49" s="590">
        <f>'ADB Fin. Postition '!E49</f>
        <v>0</v>
      </c>
      <c r="D49" s="352">
        <f>'ATB Fin. Position'!E49</f>
        <v>0</v>
      </c>
      <c r="E49" s="368">
        <f>'AASPA Fin. Position'!E49</f>
        <v>0</v>
      </c>
      <c r="F49" s="352">
        <f>'ACC Fin. Position'!E49</f>
        <v>-448.44</v>
      </c>
      <c r="G49" s="830">
        <f>'ANT Fin. Position'!E49</f>
        <v>0</v>
      </c>
      <c r="H49" s="830">
        <f>'PSPF Fin. Position'!E49</f>
        <v>0</v>
      </c>
      <c r="I49" s="830">
        <f>'AFSC Fin. Position'!E49</f>
        <v>50.968272000000006</v>
      </c>
      <c r="J49" s="732">
        <f>'PUC Fin. Position'!E49</f>
        <v>0</v>
      </c>
      <c r="K49" s="662">
        <f>'ASSB Fin. Position'!E49</f>
        <v>0</v>
      </c>
      <c r="L49" s="662"/>
    </row>
    <row r="50" spans="1:12" ht="15" customHeight="1" x14ac:dyDescent="0.3">
      <c r="A50" s="79" t="s">
        <v>108</v>
      </c>
      <c r="B50" s="341">
        <f t="shared" si="7"/>
        <v>20220.919271999999</v>
      </c>
      <c r="C50" s="590">
        <f>'ADB Fin. Postition '!E50</f>
        <v>0</v>
      </c>
      <c r="D50" s="352">
        <f>'ATB Fin. Position'!E50</f>
        <v>0</v>
      </c>
      <c r="E50" s="368">
        <f>'AASPA Fin. Position'!E50</f>
        <v>0</v>
      </c>
      <c r="F50" s="352">
        <f>'ACC Fin. Position'!E50</f>
        <v>-174.58</v>
      </c>
      <c r="G50" s="830">
        <f>'ANT Fin. Position'!E50</f>
        <v>0</v>
      </c>
      <c r="H50" s="830">
        <f>'PSPF Fin. Position'!E50</f>
        <v>8081.44</v>
      </c>
      <c r="I50" s="830">
        <f>'AFSC Fin. Position'!E50</f>
        <v>3290.2492720000005</v>
      </c>
      <c r="J50" s="732">
        <f>'PUC Fin. Position'!E50</f>
        <v>0</v>
      </c>
      <c r="K50" s="662">
        <f>'ASSB Fin. Position'!E50</f>
        <v>9023.81</v>
      </c>
      <c r="L50" s="662"/>
    </row>
    <row r="51" spans="1:12" ht="15" customHeight="1" x14ac:dyDescent="0.3">
      <c r="A51" s="79" t="s">
        <v>109</v>
      </c>
      <c r="B51" s="341">
        <f t="shared" si="7"/>
        <v>3029502.8984480007</v>
      </c>
      <c r="C51" s="590">
        <f>'ADB Fin. Postition '!E51</f>
        <v>0</v>
      </c>
      <c r="D51" s="352">
        <f>'ATB Fin. Position'!E51</f>
        <v>0</v>
      </c>
      <c r="E51" s="368">
        <f>'AASPA Fin. Position'!E51</f>
        <v>0</v>
      </c>
      <c r="F51" s="352">
        <f>'ACC Fin. Position'!E51</f>
        <v>0</v>
      </c>
      <c r="G51" s="830">
        <f>'ANT Fin. Position'!E51</f>
        <v>0</v>
      </c>
      <c r="H51" s="830">
        <f>'PSPF Fin. Position'!E51</f>
        <v>400737.28000000003</v>
      </c>
      <c r="I51" s="830">
        <f>'AFSC Fin. Position'!E51</f>
        <v>2628765.6184480004</v>
      </c>
      <c r="J51" s="732">
        <f>'PUC Fin. Position'!E51</f>
        <v>0</v>
      </c>
      <c r="K51" s="662">
        <f>'ASSB Fin. Position'!E51</f>
        <v>0</v>
      </c>
      <c r="L51" s="662"/>
    </row>
    <row r="52" spans="1:12" ht="15" customHeight="1" x14ac:dyDescent="0.3">
      <c r="A52" s="79" t="s">
        <v>33</v>
      </c>
      <c r="B52" s="341">
        <f t="shared" si="7"/>
        <v>152231.40505599999</v>
      </c>
      <c r="C52" s="590">
        <f>'ADB Fin. Postition '!E52</f>
        <v>0</v>
      </c>
      <c r="D52" s="352">
        <f>'ATB Fin. Position'!E52</f>
        <v>12090.73</v>
      </c>
      <c r="E52" s="368">
        <f>'AASPA Fin. Position'!E52</f>
        <v>140140.46</v>
      </c>
      <c r="F52" s="352">
        <f>'ACC Fin. Position'!E52</f>
        <v>0</v>
      </c>
      <c r="G52" s="830">
        <f>'ANT Fin. Position'!E52</f>
        <v>0</v>
      </c>
      <c r="H52" s="830">
        <f>'PSPF Fin. Position'!E52</f>
        <v>0</v>
      </c>
      <c r="I52" s="830">
        <f>'AFSC Fin. Position'!E52</f>
        <v>0.21505600000000002</v>
      </c>
      <c r="J52" s="732">
        <f>'PUC Fin. Position'!E52</f>
        <v>0</v>
      </c>
      <c r="K52" s="662">
        <f>'ASSB Fin. Position'!E52</f>
        <v>0</v>
      </c>
      <c r="L52" s="662"/>
    </row>
    <row r="53" spans="1:12" ht="15" customHeight="1" x14ac:dyDescent="0.3">
      <c r="A53" s="79" t="s">
        <v>34</v>
      </c>
      <c r="B53" s="341">
        <f t="shared" si="7"/>
        <v>15033948.415577998</v>
      </c>
      <c r="C53" s="590">
        <f>'ADB Fin. Postition '!E53</f>
        <v>0</v>
      </c>
      <c r="D53" s="352">
        <f>'ATB Fin. Position'!E53</f>
        <v>0</v>
      </c>
      <c r="E53" s="368">
        <f>'AASPA Fin. Position'!E53</f>
        <v>13870</v>
      </c>
      <c r="F53" s="352">
        <f>'ACC Fin. Position'!E53</f>
        <v>0</v>
      </c>
      <c r="G53" s="830">
        <f>'ANT Fin. Position'!E53</f>
        <v>0</v>
      </c>
      <c r="H53" s="830">
        <f>'PSPF Fin. Position'!E53</f>
        <v>28040</v>
      </c>
      <c r="I53" s="830">
        <f>'AFSC Fin. Position'!E53</f>
        <v>14992038.415577998</v>
      </c>
      <c r="J53" s="732">
        <f>'PUC Fin. Position'!E53</f>
        <v>0</v>
      </c>
      <c r="K53" s="662">
        <f>'ASSB Fin. Position'!E53</f>
        <v>0</v>
      </c>
      <c r="L53" s="662"/>
    </row>
    <row r="54" spans="1:12" ht="15" customHeight="1" x14ac:dyDescent="0.3">
      <c r="A54" s="78" t="s">
        <v>35</v>
      </c>
      <c r="B54" s="341">
        <f t="shared" si="7"/>
        <v>1992820.9590099996</v>
      </c>
      <c r="C54" s="590">
        <f>'ADB Fin. Postition '!E54</f>
        <v>77</v>
      </c>
      <c r="D54" s="352">
        <f>'ATB Fin. Position'!E54</f>
        <v>-288965.83</v>
      </c>
      <c r="E54" s="368">
        <f>'AASPA Fin. Position'!E54</f>
        <v>2063234.8999999997</v>
      </c>
      <c r="F54" s="352">
        <f>'ACC Fin. Position'!E54</f>
        <v>15642</v>
      </c>
      <c r="G54" s="830">
        <f>'ANT Fin. Position'!E54</f>
        <v>0</v>
      </c>
      <c r="H54" s="830">
        <f>'PSPF Fin. Position'!E54</f>
        <v>0</v>
      </c>
      <c r="I54" s="830">
        <f>'AFSC Fin. Position'!E54</f>
        <v>202832.88901000001</v>
      </c>
      <c r="J54" s="732">
        <f>'PUC Fin. Position'!E54</f>
        <v>0</v>
      </c>
      <c r="K54" s="662">
        <f>'ASSB Fin. Position'!E54</f>
        <v>0</v>
      </c>
      <c r="L54" s="662"/>
    </row>
    <row r="55" spans="1:12" ht="15" customHeight="1" x14ac:dyDescent="0.3">
      <c r="A55" s="78" t="s">
        <v>36</v>
      </c>
      <c r="B55" s="341">
        <f t="shared" si="7"/>
        <v>0</v>
      </c>
      <c r="C55" s="590">
        <f>'ADB Fin. Postition '!E55</f>
        <v>0</v>
      </c>
      <c r="D55" s="352">
        <f>'ATB Fin. Position'!E55</f>
        <v>0</v>
      </c>
      <c r="E55" s="368">
        <f>'AASPA Fin. Position'!E55</f>
        <v>0</v>
      </c>
      <c r="F55" s="352">
        <f>'ACC Fin. Position'!E55</f>
        <v>0</v>
      </c>
      <c r="G55" s="830">
        <f>'ANT Fin. Position'!E55</f>
        <v>0</v>
      </c>
      <c r="H55" s="830">
        <f>'PSPF Fin. Position'!E55</f>
        <v>0</v>
      </c>
      <c r="I55" s="830">
        <f>'AFSC Fin. Position'!E55</f>
        <v>0</v>
      </c>
      <c r="J55" s="732">
        <f>'PUC Fin. Position'!E55</f>
        <v>0</v>
      </c>
      <c r="K55" s="662">
        <f>'ASSB Fin. Position'!E55</f>
        <v>0</v>
      </c>
      <c r="L55" s="662"/>
    </row>
    <row r="56" spans="1:12" ht="15" customHeight="1" thickBot="1" x14ac:dyDescent="0.35">
      <c r="A56" s="80" t="s">
        <v>37</v>
      </c>
      <c r="B56" s="341">
        <f t="shared" si="7"/>
        <v>1156923.4768000001</v>
      </c>
      <c r="C56" s="590">
        <f>'ADB Fin. Postition '!E56</f>
        <v>0</v>
      </c>
      <c r="D56" s="352">
        <f>'ATB Fin. Position'!E56</f>
        <v>89837.56</v>
      </c>
      <c r="E56" s="368">
        <f>'AASPA Fin. Position'!E56</f>
        <v>0</v>
      </c>
      <c r="F56" s="352">
        <f>'ACC Fin. Position'!E56</f>
        <v>105842.68</v>
      </c>
      <c r="G56" s="830">
        <f>'ANT Fin. Position'!E56</f>
        <v>0</v>
      </c>
      <c r="H56" s="830">
        <f>'PSPF Fin. Position'!E56</f>
        <v>0</v>
      </c>
      <c r="I56" s="830">
        <f>'AFSC Fin. Position'!E56</f>
        <v>35548.756800000003</v>
      </c>
      <c r="J56" s="732">
        <f>'PUC Fin. Position'!E56</f>
        <v>272953.96000000002</v>
      </c>
      <c r="K56" s="662">
        <f>'ASSB Fin. Position'!E56</f>
        <v>652740.52</v>
      </c>
      <c r="L56" s="970"/>
    </row>
    <row r="57" spans="1:12" ht="15" customHeight="1" thickBot="1" x14ac:dyDescent="0.35">
      <c r="A57" s="737" t="s">
        <v>38</v>
      </c>
      <c r="B57" s="738">
        <f>SUM(B48:B56)</f>
        <v>29487313.009066001</v>
      </c>
      <c r="C57" s="738">
        <f t="shared" ref="C57:L57" si="8">SUM(C48:C56)</f>
        <v>183224</v>
      </c>
      <c r="D57" s="738">
        <f t="shared" si="8"/>
        <v>383639.42999999993</v>
      </c>
      <c r="E57" s="738">
        <f t="shared" si="8"/>
        <v>3541159.2399999998</v>
      </c>
      <c r="F57" s="738">
        <f t="shared" si="8"/>
        <v>229769.75999999998</v>
      </c>
      <c r="G57" s="828">
        <f t="shared" si="8"/>
        <v>0</v>
      </c>
      <c r="H57" s="828">
        <f t="shared" si="8"/>
        <v>501317.69000000006</v>
      </c>
      <c r="I57" s="828">
        <f t="shared" si="8"/>
        <v>17945557.949065998</v>
      </c>
      <c r="J57" s="828">
        <f>SUM(J48:J56)</f>
        <v>339698.10000000003</v>
      </c>
      <c r="K57" s="971">
        <f t="shared" si="8"/>
        <v>6362946.8399999999</v>
      </c>
      <c r="L57" s="971">
        <f t="shared" si="8"/>
        <v>0</v>
      </c>
    </row>
    <row r="58" spans="1:12" ht="15" customHeight="1" x14ac:dyDescent="0.3">
      <c r="A58" s="665"/>
      <c r="B58" s="664"/>
      <c r="C58" s="336"/>
      <c r="D58" s="336"/>
      <c r="E58" s="668"/>
      <c r="F58" s="336"/>
      <c r="G58" s="839"/>
      <c r="H58" s="832"/>
      <c r="I58" s="840"/>
      <c r="J58" s="1111"/>
      <c r="K58" s="661"/>
      <c r="L58" s="661"/>
    </row>
    <row r="59" spans="1:12" ht="15" customHeight="1" x14ac:dyDescent="0.3">
      <c r="A59" s="666" t="s">
        <v>39</v>
      </c>
      <c r="B59" s="353"/>
      <c r="C59" s="352"/>
      <c r="D59" s="352"/>
      <c r="E59" s="368"/>
      <c r="F59" s="352"/>
      <c r="G59" s="834"/>
      <c r="H59" s="830"/>
      <c r="I59" s="830"/>
      <c r="J59" s="732"/>
      <c r="K59" s="662"/>
      <c r="L59" s="662"/>
    </row>
    <row r="60" spans="1:12" ht="15" customHeight="1" x14ac:dyDescent="0.3">
      <c r="A60" s="72" t="s">
        <v>117</v>
      </c>
      <c r="B60" s="342">
        <f>C60+D60+E60+F60+G60+H60+I60+J60+K60+L60</f>
        <v>5472982.6399999997</v>
      </c>
      <c r="C60" s="590">
        <f>'ADB Fin. Postition '!E60</f>
        <v>247973</v>
      </c>
      <c r="D60" s="590">
        <f>'ATB Fin. Position'!E60</f>
        <v>0</v>
      </c>
      <c r="E60" s="368">
        <f>'AASPA Fin. Position'!E60</f>
        <v>214911.44999999987</v>
      </c>
      <c r="F60" s="352">
        <f>'ACC Fin. Position'!E60</f>
        <v>4917230.42</v>
      </c>
      <c r="G60" s="830">
        <f>'ANT Fin. Position'!E60</f>
        <v>0</v>
      </c>
      <c r="H60" s="830">
        <f>'PSPF Fin. Position'!E60</f>
        <v>92867.77</v>
      </c>
      <c r="I60" s="830">
        <f>'AFSC Fin. Position'!E60</f>
        <v>0</v>
      </c>
      <c r="J60" s="732">
        <f>'PUC Fin. Position'!E60</f>
        <v>0</v>
      </c>
      <c r="K60" s="662">
        <f>'ASSB Fin. Position'!E60</f>
        <v>0</v>
      </c>
      <c r="L60" s="662"/>
    </row>
    <row r="61" spans="1:12" ht="15" customHeight="1" x14ac:dyDescent="0.3">
      <c r="A61" s="72" t="s">
        <v>40</v>
      </c>
      <c r="B61" s="342">
        <f>C61+D61+E61+F61+G61+H61+I61+J61+K61+L61</f>
        <v>41536405.025105998</v>
      </c>
      <c r="C61" s="590">
        <f>'ADB Fin. Postition '!E61</f>
        <v>364000</v>
      </c>
      <c r="D61" s="590">
        <f>'ATB Fin. Position'!E61</f>
        <v>0</v>
      </c>
      <c r="E61" s="368">
        <f>'AASPA Fin. Position'!E61</f>
        <v>30344567.370000005</v>
      </c>
      <c r="F61" s="352">
        <f>'ACC Fin. Position'!E61</f>
        <v>18230.2</v>
      </c>
      <c r="G61" s="830">
        <f>'ANT Fin. Position'!E61</f>
        <v>0</v>
      </c>
      <c r="H61" s="830">
        <f>'PSPF Fin. Position'!E61</f>
        <v>0</v>
      </c>
      <c r="I61" s="830">
        <f>'AFSC Fin. Position'!E61</f>
        <v>1529425.3951060001</v>
      </c>
      <c r="J61" s="732">
        <f>'PUC Fin. Position'!E61</f>
        <v>211625.06</v>
      </c>
      <c r="K61" s="662">
        <f>'ASSB Fin. Position'!E61</f>
        <v>9068557</v>
      </c>
      <c r="L61" s="662"/>
    </row>
    <row r="62" spans="1:12" ht="15" customHeight="1" thickBot="1" x14ac:dyDescent="0.35">
      <c r="A62" s="667"/>
      <c r="B62" s="663"/>
      <c r="C62" s="369"/>
      <c r="D62" s="369"/>
      <c r="E62" s="648"/>
      <c r="F62" s="369"/>
      <c r="G62" s="841"/>
      <c r="H62" s="838"/>
      <c r="I62" s="838"/>
      <c r="J62" s="1113"/>
      <c r="K62" s="970"/>
      <c r="L62" s="970"/>
    </row>
    <row r="63" spans="1:12" ht="15" customHeight="1" thickBot="1" x14ac:dyDescent="0.35">
      <c r="A63" s="741" t="s">
        <v>41</v>
      </c>
      <c r="B63" s="738">
        <f>SUM(B60:B61)</f>
        <v>47009387.665105999</v>
      </c>
      <c r="C63" s="738">
        <f t="shared" ref="C63:L63" si="9">SUM(C60:C61)</f>
        <v>611973</v>
      </c>
      <c r="D63" s="738">
        <f t="shared" si="9"/>
        <v>0</v>
      </c>
      <c r="E63" s="738">
        <f t="shared" si="9"/>
        <v>30559478.820000004</v>
      </c>
      <c r="F63" s="738">
        <f t="shared" si="9"/>
        <v>4935460.62</v>
      </c>
      <c r="G63" s="828">
        <f t="shared" si="9"/>
        <v>0</v>
      </c>
      <c r="H63" s="828">
        <f t="shared" si="9"/>
        <v>92867.77</v>
      </c>
      <c r="I63" s="828">
        <f t="shared" si="9"/>
        <v>1529425.3951060001</v>
      </c>
      <c r="J63" s="828">
        <f t="shared" si="9"/>
        <v>211625.06</v>
      </c>
      <c r="K63" s="971">
        <f t="shared" si="9"/>
        <v>9068557</v>
      </c>
      <c r="L63" s="971">
        <f t="shared" si="9"/>
        <v>0</v>
      </c>
    </row>
    <row r="64" spans="1:12" ht="15" customHeight="1" x14ac:dyDescent="0.3">
      <c r="A64" s="81"/>
      <c r="B64" s="652"/>
      <c r="C64" s="336"/>
      <c r="D64" s="336"/>
      <c r="E64" s="668"/>
      <c r="F64" s="336"/>
      <c r="G64" s="831"/>
      <c r="H64" s="832"/>
      <c r="I64" s="832"/>
      <c r="J64" s="1114"/>
      <c r="K64" s="661"/>
      <c r="L64" s="661"/>
    </row>
    <row r="65" spans="1:12" ht="15" customHeight="1" x14ac:dyDescent="0.3">
      <c r="A65" s="61" t="s">
        <v>42</v>
      </c>
      <c r="B65" s="352"/>
      <c r="C65" s="352"/>
      <c r="D65" s="352"/>
      <c r="E65" s="368"/>
      <c r="F65" s="352"/>
      <c r="G65" s="834"/>
      <c r="H65" s="830"/>
      <c r="I65" s="830"/>
      <c r="J65" s="732"/>
      <c r="K65" s="662"/>
      <c r="L65" s="662"/>
    </row>
    <row r="66" spans="1:12" ht="15" customHeight="1" x14ac:dyDescent="0.3">
      <c r="A66" s="78" t="s">
        <v>43</v>
      </c>
      <c r="B66" s="341">
        <f>C66+D66+E66+F66+G66+H66+I66+J66+K66+L66</f>
        <v>459953993.98574001</v>
      </c>
      <c r="C66" s="590">
        <f>'ADB Fin. Postition '!E66</f>
        <v>10985698</v>
      </c>
      <c r="D66" s="352">
        <f>'ATB Fin. Position'!E66</f>
        <v>3087871.1</v>
      </c>
      <c r="E66" s="368">
        <f>'AASPA Fin. Position'!E66</f>
        <v>16606814.375740001</v>
      </c>
      <c r="F66" s="352">
        <f>'ACC Fin. Position'!E66</f>
        <v>4650310.47</v>
      </c>
      <c r="G66" s="830">
        <f>'ANT Fin. Position'!E66</f>
        <v>0</v>
      </c>
      <c r="H66" s="830">
        <f>'PSPF Fin. Position'!E66</f>
        <v>31885749.620000001</v>
      </c>
      <c r="I66" s="830">
        <f>'AFSC Fin. Position'!E66</f>
        <v>0</v>
      </c>
      <c r="J66" s="732">
        <f>'PUC Fin. Position'!E66</f>
        <v>0</v>
      </c>
      <c r="K66" s="662">
        <f>'ASSB Fin. Position'!E66</f>
        <v>392737550.42000002</v>
      </c>
      <c r="L66" s="662"/>
    </row>
    <row r="67" spans="1:12" ht="15" customHeight="1" x14ac:dyDescent="0.3">
      <c r="A67" s="78" t="s">
        <v>44</v>
      </c>
      <c r="B67" s="341">
        <f>C67+D67+E67+F67+G67+H67+I67+J67+K67+L67</f>
        <v>0</v>
      </c>
      <c r="C67" s="590">
        <f>'ADB Fin. Postition '!E67</f>
        <v>0</v>
      </c>
      <c r="D67" s="352">
        <f>'ATB Fin. Position'!E67</f>
        <v>0</v>
      </c>
      <c r="E67" s="368">
        <f>'AASPA Fin. Position'!E67</f>
        <v>0</v>
      </c>
      <c r="F67" s="352">
        <f>'ACC Fin. Position'!E67</f>
        <v>0</v>
      </c>
      <c r="G67" s="830">
        <f>'ANT Fin. Position'!E67</f>
        <v>0</v>
      </c>
      <c r="H67" s="830">
        <f>'PSPF Fin. Position'!E67</f>
        <v>0</v>
      </c>
      <c r="I67" s="830">
        <f>'AFSC Fin. Position'!E67</f>
        <v>0</v>
      </c>
      <c r="J67" s="732">
        <f>'PUC Fin. Position'!E67</f>
        <v>0</v>
      </c>
      <c r="K67" s="662">
        <f>'ASSB Fin. Position'!E67</f>
        <v>0</v>
      </c>
      <c r="L67" s="662"/>
    </row>
    <row r="68" spans="1:12" ht="15" customHeight="1" x14ac:dyDescent="0.3">
      <c r="A68" s="78" t="s">
        <v>45</v>
      </c>
      <c r="B68" s="341">
        <f>C68+D68+E68+F68+G68+H68+I68+J68+K68+L68</f>
        <v>142024157.29604399</v>
      </c>
      <c r="C68" s="590">
        <f>'ADB Fin. Postition '!E68</f>
        <v>0</v>
      </c>
      <c r="D68" s="352">
        <f>'ATB Fin. Position'!E68</f>
        <v>0</v>
      </c>
      <c r="E68" s="368">
        <f>'AASPA Fin. Position'!E68</f>
        <v>133787305.95</v>
      </c>
      <c r="F68" s="352">
        <f>'ACC Fin. Position'!E68</f>
        <v>0</v>
      </c>
      <c r="G68" s="830">
        <f>'ANT Fin. Position'!E68</f>
        <v>0</v>
      </c>
      <c r="H68" s="830">
        <f>'PSPF Fin. Position'!E68</f>
        <v>-2787.58</v>
      </c>
      <c r="I68" s="830">
        <f>'AFSC Fin. Position'!E68</f>
        <v>5993033.8860440003</v>
      </c>
      <c r="J68" s="732">
        <f>'PUC Fin. Position'!E68</f>
        <v>0</v>
      </c>
      <c r="K68" s="662">
        <f>'ASSB Fin. Position'!E68</f>
        <v>2246605.04</v>
      </c>
      <c r="L68" s="662"/>
    </row>
    <row r="69" spans="1:12" ht="15" customHeight="1" thickBot="1" x14ac:dyDescent="0.35">
      <c r="A69" s="80" t="s">
        <v>46</v>
      </c>
      <c r="B69" s="341">
        <f>C69+D69+E69+F69+G69+H69+I69+J69+K69+L69</f>
        <v>68834123.548427999</v>
      </c>
      <c r="C69" s="590">
        <f>'ADB Fin. Postition '!E69</f>
        <v>9183401</v>
      </c>
      <c r="D69" s="352">
        <f>'ATB Fin. Position'!E69</f>
        <v>-329322.27</v>
      </c>
      <c r="E69" s="368">
        <f>'AASPA Fin. Position'!E69</f>
        <v>26874661.25426</v>
      </c>
      <c r="F69" s="352">
        <f>'ACC Fin. Position'!E69</f>
        <v>2809142.62</v>
      </c>
      <c r="G69" s="830">
        <f>'ANT Fin. Position'!E69</f>
        <v>7251715.1799999997</v>
      </c>
      <c r="H69" s="830">
        <f>'PSPF Fin. Position'!E69</f>
        <v>202277.89</v>
      </c>
      <c r="I69" s="830">
        <f>'AFSC Fin. Position'!E69</f>
        <v>2146111.674168</v>
      </c>
      <c r="J69" s="732">
        <f>'PUC Fin. Position'!E69</f>
        <v>971753.47</v>
      </c>
      <c r="K69" s="662">
        <f>'ASSB Fin. Position'!E69</f>
        <v>19724382.73</v>
      </c>
      <c r="L69" s="970"/>
    </row>
    <row r="70" spans="1:12" ht="15" customHeight="1" thickBot="1" x14ac:dyDescent="0.35">
      <c r="A70" s="737" t="s">
        <v>47</v>
      </c>
      <c r="B70" s="738">
        <f>SUM(B66:B69)</f>
        <v>670812274.83021212</v>
      </c>
      <c r="C70" s="738">
        <f t="shared" ref="C70:L70" si="10">SUM(C66:C69)</f>
        <v>20169099</v>
      </c>
      <c r="D70" s="738">
        <f t="shared" si="10"/>
        <v>2758548.83</v>
      </c>
      <c r="E70" s="738">
        <f t="shared" si="10"/>
        <v>177268781.58000001</v>
      </c>
      <c r="F70" s="738">
        <f t="shared" si="10"/>
        <v>7459453.0899999999</v>
      </c>
      <c r="G70" s="828">
        <f t="shared" si="10"/>
        <v>7251715.1799999997</v>
      </c>
      <c r="H70" s="828">
        <f t="shared" si="10"/>
        <v>32085239.930000003</v>
      </c>
      <c r="I70" s="828">
        <f>SUM(I66:I69)</f>
        <v>8139145.5602120003</v>
      </c>
      <c r="J70" s="828">
        <f>SUM(J66:J69)</f>
        <v>971753.47</v>
      </c>
      <c r="K70" s="971">
        <f t="shared" si="10"/>
        <v>414708538.19000006</v>
      </c>
      <c r="L70" s="971">
        <f t="shared" si="10"/>
        <v>0</v>
      </c>
    </row>
    <row r="71" spans="1:12" ht="15.75" customHeight="1" thickBot="1" x14ac:dyDescent="0.35">
      <c r="A71" s="82"/>
      <c r="B71" s="660"/>
      <c r="C71" s="653"/>
      <c r="D71" s="653"/>
      <c r="E71" s="736"/>
      <c r="F71" s="653"/>
      <c r="G71" s="842"/>
      <c r="H71" s="660"/>
      <c r="I71" s="660"/>
      <c r="J71" s="843"/>
      <c r="K71" s="974"/>
      <c r="L71" s="974"/>
    </row>
    <row r="72" spans="1:12" ht="16.5" customHeight="1" thickBot="1" x14ac:dyDescent="0.35">
      <c r="A72" s="742" t="s">
        <v>48</v>
      </c>
      <c r="B72" s="738">
        <f>B70+B63+B57</f>
        <v>747308975.50438416</v>
      </c>
      <c r="C72" s="738">
        <f t="shared" ref="C72:L72" si="11">C70+C63+C57</f>
        <v>20964296</v>
      </c>
      <c r="D72" s="738">
        <f t="shared" si="11"/>
        <v>3142188.26</v>
      </c>
      <c r="E72" s="738">
        <f>E70+E63+E57</f>
        <v>211369419.64000002</v>
      </c>
      <c r="F72" s="738">
        <f t="shared" si="11"/>
        <v>12624683.470000001</v>
      </c>
      <c r="G72" s="828">
        <f t="shared" si="11"/>
        <v>7251715.1799999997</v>
      </c>
      <c r="H72" s="828">
        <f t="shared" si="11"/>
        <v>32679425.390000004</v>
      </c>
      <c r="I72" s="828">
        <f t="shared" si="11"/>
        <v>27614128.904383998</v>
      </c>
      <c r="J72" s="828">
        <f>J70+J63+J57</f>
        <v>1523076.6300000001</v>
      </c>
      <c r="K72" s="971">
        <f t="shared" si="11"/>
        <v>430140042.03000003</v>
      </c>
      <c r="L72" s="971">
        <f t="shared" si="11"/>
        <v>0</v>
      </c>
    </row>
    <row r="73" spans="1:12" ht="15.75" customHeight="1" x14ac:dyDescent="0.3">
      <c r="D73" s="982"/>
      <c r="E73" s="985"/>
      <c r="F73" s="981"/>
      <c r="G73" s="844"/>
      <c r="H73" s="649"/>
      <c r="I73" s="649"/>
      <c r="J73" s="48"/>
    </row>
    <row r="74" spans="1:12" ht="15.75" customHeight="1" x14ac:dyDescent="0.3">
      <c r="D74" s="983"/>
      <c r="E74" s="984"/>
      <c r="F74" s="981"/>
      <c r="G74" s="844"/>
      <c r="H74" s="649"/>
      <c r="I74" s="649"/>
      <c r="J74" s="48"/>
    </row>
    <row r="75" spans="1:12" ht="15.75" customHeight="1" x14ac:dyDescent="0.3">
      <c r="D75" s="983"/>
      <c r="E75" s="986"/>
      <c r="F75" s="987"/>
      <c r="G75" s="844"/>
      <c r="H75" s="649"/>
      <c r="I75" s="649"/>
      <c r="J75" s="48"/>
    </row>
    <row r="76" spans="1:12" ht="15.75" customHeight="1" x14ac:dyDescent="0.3">
      <c r="D76" s="983"/>
      <c r="E76" s="985"/>
      <c r="F76" s="981"/>
      <c r="G76" s="844"/>
      <c r="H76" s="649"/>
      <c r="I76" s="649"/>
      <c r="J76" s="48"/>
    </row>
    <row r="77" spans="1:12" ht="15.75" customHeight="1" x14ac:dyDescent="0.3">
      <c r="D77" s="983"/>
      <c r="E77" s="986"/>
      <c r="F77" s="981"/>
    </row>
    <row r="78" spans="1:12" ht="15.75" customHeight="1" x14ac:dyDescent="0.3">
      <c r="D78" s="983"/>
      <c r="E78" s="984"/>
      <c r="F78" s="981"/>
    </row>
    <row r="79" spans="1:12" ht="15.75" customHeight="1" x14ac:dyDescent="0.3">
      <c r="E79" s="988"/>
      <c r="F79" s="989"/>
    </row>
  </sheetData>
  <sheetProtection algorithmName="SHA-512" hashValue="uvgih3IbpJs/8Bt565U52U5psXtm+UKTcGs3V417zoVtqTH9EdMgowC2C4lvjXUuaxDVl63wE36ISZk/5mNoQg==" saltValue="t2/sxzA6oRkJ+XFB+TbXJQ==" spinCount="100000" sheet="1" objects="1" scenarios="1"/>
  <mergeCells count="7">
    <mergeCell ref="E6:V6"/>
    <mergeCell ref="A7:C7"/>
    <mergeCell ref="A1:C1"/>
    <mergeCell ref="A3:C3"/>
    <mergeCell ref="A4:C4"/>
    <mergeCell ref="A5:C5"/>
    <mergeCell ref="A6:C6"/>
  </mergeCells>
  <pageMargins left="0.7" right="0.7" top="0.75" bottom="0.75" header="0.3" footer="0.3"/>
  <pageSetup paperSize="17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F72"/>
  <sheetViews>
    <sheetView topLeftCell="A6" zoomScale="70" zoomScaleNormal="70" workbookViewId="0">
      <selection activeCell="F15" sqref="F15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379" customWidth="1"/>
    <col min="3" max="3" width="16.85546875" style="379" customWidth="1"/>
    <col min="4" max="4" width="18.140625" style="379" customWidth="1"/>
    <col min="5" max="5" width="17" style="379" customWidth="1"/>
    <col min="6" max="6" width="17.42578125" style="379" customWidth="1"/>
    <col min="7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5" customHeight="1" x14ac:dyDescent="0.3">
      <c r="A2" s="47"/>
      <c r="B2" s="327"/>
      <c r="C2" s="327"/>
      <c r="D2" s="327"/>
      <c r="E2" s="327"/>
      <c r="F2" s="327"/>
    </row>
    <row r="3" spans="1:6" s="49" customFormat="1" ht="18.75" customHeight="1" x14ac:dyDescent="0.3">
      <c r="A3" s="1767" t="s">
        <v>172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328"/>
      <c r="C8" s="328"/>
      <c r="D8" s="328"/>
      <c r="E8" s="328"/>
      <c r="F8" s="328"/>
    </row>
    <row r="9" spans="1:6" ht="17.45" customHeight="1" x14ac:dyDescent="0.3">
      <c r="A9" s="284"/>
      <c r="B9" s="330" t="s">
        <v>160</v>
      </c>
      <c r="C9" s="330" t="s">
        <v>161</v>
      </c>
      <c r="D9" s="553" t="s">
        <v>162</v>
      </c>
      <c r="E9" s="330" t="s">
        <v>163</v>
      </c>
      <c r="F9" s="554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332" t="s">
        <v>107</v>
      </c>
      <c r="C11" s="332" t="s">
        <v>107</v>
      </c>
      <c r="D11" s="555" t="s">
        <v>107</v>
      </c>
      <c r="E11" s="332" t="s">
        <v>107</v>
      </c>
      <c r="F11" s="556" t="s">
        <v>107</v>
      </c>
    </row>
    <row r="12" spans="1:6" ht="15" customHeight="1" x14ac:dyDescent="0.3">
      <c r="A12" s="291" t="s">
        <v>4</v>
      </c>
      <c r="B12" s="339"/>
      <c r="C12" s="339"/>
      <c r="D12" s="335"/>
      <c r="E12" s="339"/>
      <c r="F12" s="337"/>
    </row>
    <row r="13" spans="1:6" ht="15" customHeight="1" x14ac:dyDescent="0.3">
      <c r="A13" s="294" t="s">
        <v>5</v>
      </c>
      <c r="B13" s="341"/>
      <c r="C13" s="341"/>
      <c r="D13" s="340"/>
      <c r="E13" s="341"/>
      <c r="F13" s="342"/>
    </row>
    <row r="14" spans="1:6" ht="15" customHeight="1" x14ac:dyDescent="0.3">
      <c r="A14" s="296" t="s">
        <v>6</v>
      </c>
      <c r="B14" s="802">
        <v>2632599.69</v>
      </c>
      <c r="C14" s="802">
        <v>2814449.31</v>
      </c>
      <c r="D14" s="802">
        <v>3118046.85</v>
      </c>
      <c r="E14" s="802">
        <v>3611518.38</v>
      </c>
      <c r="F14" s="802">
        <v>3566984.41</v>
      </c>
    </row>
    <row r="15" spans="1:6" ht="15" customHeight="1" x14ac:dyDescent="0.3">
      <c r="A15" s="297" t="s">
        <v>7</v>
      </c>
      <c r="B15" s="802">
        <v>326878.71999999997</v>
      </c>
      <c r="C15" s="802">
        <v>518765.70999999996</v>
      </c>
      <c r="D15" s="802">
        <v>603204.30000000005</v>
      </c>
      <c r="E15" s="802">
        <v>548920.15000000014</v>
      </c>
      <c r="F15" s="802">
        <v>377894.79999999993</v>
      </c>
    </row>
    <row r="16" spans="1:6" ht="15" customHeight="1" x14ac:dyDescent="0.3">
      <c r="A16" s="297" t="s">
        <v>8</v>
      </c>
      <c r="B16" s="802">
        <v>163240.23000000001</v>
      </c>
      <c r="C16" s="802">
        <v>0.37</v>
      </c>
      <c r="D16" s="802">
        <v>0.37</v>
      </c>
      <c r="E16" s="802">
        <v>51524.97</v>
      </c>
      <c r="F16" s="802">
        <v>116952.89</v>
      </c>
    </row>
    <row r="17" spans="1:6" ht="15" customHeight="1" x14ac:dyDescent="0.3">
      <c r="A17" s="297" t="s">
        <v>9</v>
      </c>
      <c r="B17" s="802">
        <v>0</v>
      </c>
      <c r="C17" s="802"/>
      <c r="D17" s="802">
        <v>0</v>
      </c>
      <c r="E17" s="802">
        <v>0</v>
      </c>
      <c r="F17" s="802">
        <v>1</v>
      </c>
    </row>
    <row r="18" spans="1:6" ht="15" customHeight="1" x14ac:dyDescent="0.3">
      <c r="A18" s="297" t="s">
        <v>10</v>
      </c>
      <c r="B18" s="802">
        <v>2859.79</v>
      </c>
      <c r="C18" s="802">
        <v>2859.79</v>
      </c>
      <c r="D18" s="802">
        <v>2859.79</v>
      </c>
      <c r="E18" s="802">
        <v>2859.79</v>
      </c>
      <c r="F18" s="802">
        <v>3363.32</v>
      </c>
    </row>
    <row r="19" spans="1:6" ht="15" customHeight="1" x14ac:dyDescent="0.3">
      <c r="A19" s="298" t="s">
        <v>11</v>
      </c>
      <c r="B19" s="802">
        <v>0</v>
      </c>
      <c r="C19" s="802">
        <v>0</v>
      </c>
      <c r="D19" s="802">
        <v>0</v>
      </c>
      <c r="E19" s="802">
        <v>0</v>
      </c>
      <c r="F19" s="802">
        <v>1</v>
      </c>
    </row>
    <row r="20" spans="1:6" ht="15" customHeight="1" x14ac:dyDescent="0.3">
      <c r="A20" s="299" t="s">
        <v>12</v>
      </c>
      <c r="B20" s="345">
        <f>SUM(B14:B19)</f>
        <v>3125578.43</v>
      </c>
      <c r="C20" s="345">
        <f>SUM(C14:C19)</f>
        <v>3336075.18</v>
      </c>
      <c r="D20" s="344">
        <f>SUM(D14:D19)</f>
        <v>3724111.3100000005</v>
      </c>
      <c r="E20" s="345">
        <f>SUM(E14:E19)</f>
        <v>4214823.29</v>
      </c>
      <c r="F20" s="346">
        <f>SUM(F14:F19)</f>
        <v>4065197.42</v>
      </c>
    </row>
    <row r="21" spans="1:6" ht="15" customHeight="1" x14ac:dyDescent="0.3">
      <c r="A21" s="300"/>
      <c r="B21" s="348"/>
      <c r="C21" s="348"/>
      <c r="D21" s="347"/>
      <c r="E21" s="348"/>
      <c r="F21" s="349"/>
    </row>
    <row r="22" spans="1:6" ht="15" customHeight="1" x14ac:dyDescent="0.3">
      <c r="A22" s="301" t="s">
        <v>13</v>
      </c>
      <c r="B22" s="341"/>
      <c r="C22" s="341"/>
      <c r="D22" s="340"/>
      <c r="E22" s="341"/>
      <c r="F22" s="342"/>
    </row>
    <row r="23" spans="1:6" ht="15" customHeight="1" x14ac:dyDescent="0.3">
      <c r="A23" s="297" t="s">
        <v>14</v>
      </c>
      <c r="B23" s="802">
        <v>0</v>
      </c>
      <c r="C23" s="802">
        <v>0</v>
      </c>
      <c r="D23" s="802">
        <v>0</v>
      </c>
      <c r="E23" s="802">
        <v>0</v>
      </c>
      <c r="F23" s="802">
        <v>0</v>
      </c>
    </row>
    <row r="24" spans="1:6" ht="15" customHeight="1" x14ac:dyDescent="0.3">
      <c r="A24" s="297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355745.5</v>
      </c>
      <c r="C26" s="802">
        <v>355745.5</v>
      </c>
      <c r="D26" s="802">
        <v>355745.5</v>
      </c>
      <c r="E26" s="802">
        <v>355745.5</v>
      </c>
      <c r="F26" s="802">
        <v>360568.7</v>
      </c>
    </row>
    <row r="27" spans="1:6" ht="15" customHeight="1" x14ac:dyDescent="0.3">
      <c r="A27" s="297" t="s">
        <v>119</v>
      </c>
      <c r="B27" s="802">
        <v>0</v>
      </c>
      <c r="C27" s="802">
        <v>0</v>
      </c>
      <c r="D27" s="802">
        <v>0</v>
      </c>
      <c r="E27" s="802">
        <v>0</v>
      </c>
      <c r="F27" s="802">
        <v>0</v>
      </c>
    </row>
    <row r="28" spans="1:6" ht="15" customHeight="1" x14ac:dyDescent="0.3">
      <c r="A28" s="297" t="s">
        <v>118</v>
      </c>
      <c r="B28" s="802">
        <v>0</v>
      </c>
      <c r="C28" s="802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802">
        <v>0</v>
      </c>
      <c r="D29" s="802">
        <v>0</v>
      </c>
      <c r="E29" s="802">
        <v>0</v>
      </c>
      <c r="F29" s="802">
        <v>0</v>
      </c>
    </row>
    <row r="30" spans="1:6" ht="15" customHeight="1" x14ac:dyDescent="0.3">
      <c r="A30" s="299" t="s">
        <v>19</v>
      </c>
      <c r="B30" s="345">
        <f>SUM(B23:B29)</f>
        <v>355745.5</v>
      </c>
      <c r="C30" s="345">
        <f>SUM(C23:C29)</f>
        <v>355745.5</v>
      </c>
      <c r="D30" s="344">
        <f>SUM(D23:D29)</f>
        <v>355745.5</v>
      </c>
      <c r="E30" s="345">
        <f>SUM(E23:E29)</f>
        <v>355745.5</v>
      </c>
      <c r="F30" s="346">
        <f>SUM(F23:F29)</f>
        <v>360568.7</v>
      </c>
    </row>
    <row r="31" spans="1:6" ht="15" customHeight="1" x14ac:dyDescent="0.3">
      <c r="A31" s="300"/>
      <c r="B31" s="348"/>
      <c r="C31" s="348"/>
      <c r="D31" s="347"/>
      <c r="E31" s="348"/>
      <c r="F31" s="349"/>
    </row>
    <row r="32" spans="1:6" ht="15" customHeight="1" x14ac:dyDescent="0.3">
      <c r="A32" s="301" t="s">
        <v>20</v>
      </c>
      <c r="B32" s="352"/>
      <c r="C32" s="352"/>
      <c r="D32" s="351"/>
      <c r="E32" s="352"/>
      <c r="F32" s="353"/>
    </row>
    <row r="33" spans="1:6" ht="15" customHeight="1" x14ac:dyDescent="0.3">
      <c r="A33" s="278" t="s">
        <v>21</v>
      </c>
      <c r="B33" s="802">
        <v>6294613.5300000003</v>
      </c>
      <c r="C33" s="802">
        <v>6271085.2700000014</v>
      </c>
      <c r="D33" s="802">
        <v>6239961.5000000009</v>
      </c>
      <c r="E33" s="802">
        <v>6210900.8200000012</v>
      </c>
      <c r="F33" s="802">
        <v>6184548.1500000004</v>
      </c>
    </row>
    <row r="34" spans="1:6" ht="15" customHeight="1" x14ac:dyDescent="0.3">
      <c r="A34" s="278" t="s">
        <v>22</v>
      </c>
      <c r="B34" s="802">
        <v>46258.569999999978</v>
      </c>
      <c r="C34" s="802">
        <v>49172.48000000001</v>
      </c>
      <c r="D34" s="802">
        <v>43993</v>
      </c>
      <c r="E34" s="802">
        <v>38786.75</v>
      </c>
      <c r="F34" s="802">
        <v>35141.989999999991</v>
      </c>
    </row>
    <row r="35" spans="1:6" ht="15" customHeight="1" x14ac:dyDescent="0.3">
      <c r="A35" s="278" t="s">
        <v>23</v>
      </c>
      <c r="B35" s="802">
        <v>0</v>
      </c>
      <c r="C35" s="802"/>
      <c r="D35" s="802"/>
      <c r="E35" s="802"/>
      <c r="F35" s="802"/>
    </row>
    <row r="36" spans="1:6" ht="15" customHeight="1" x14ac:dyDescent="0.3">
      <c r="A36" s="278" t="s">
        <v>24</v>
      </c>
      <c r="B36" s="802">
        <v>157516.77000000005</v>
      </c>
      <c r="C36" s="802">
        <v>148284.29000000004</v>
      </c>
      <c r="D36" s="802">
        <v>144231.52000000002</v>
      </c>
      <c r="E36" s="802">
        <v>136831.35000000003</v>
      </c>
      <c r="F36" s="802">
        <v>136050.43000000002</v>
      </c>
    </row>
    <row r="37" spans="1:6" ht="15" customHeight="1" x14ac:dyDescent="0.3">
      <c r="A37" s="278" t="s">
        <v>25</v>
      </c>
      <c r="B37" s="802">
        <v>6.9999999999708962E-2</v>
      </c>
      <c r="C37" s="802">
        <v>6.9999999999708962E-2</v>
      </c>
      <c r="D37" s="802">
        <v>6.9999999999708962E-2</v>
      </c>
      <c r="E37" s="802">
        <v>6.9999999999708962E-2</v>
      </c>
      <c r="F37" s="802">
        <v>6.9999999999708962E-2</v>
      </c>
    </row>
    <row r="38" spans="1:6" ht="15" customHeight="1" x14ac:dyDescent="0.3">
      <c r="A38" s="279" t="s">
        <v>26</v>
      </c>
      <c r="B38" s="802">
        <v>1745868.75</v>
      </c>
      <c r="C38" s="802">
        <v>1726953.2</v>
      </c>
      <c r="D38" s="802">
        <v>1706480.07</v>
      </c>
      <c r="E38" s="802">
        <v>1667595.49</v>
      </c>
      <c r="F38" s="802">
        <v>1586308.21</v>
      </c>
    </row>
    <row r="39" spans="1:6" ht="15" customHeight="1" x14ac:dyDescent="0.3">
      <c r="A39" s="299" t="s">
        <v>27</v>
      </c>
      <c r="B39" s="345">
        <f>SUM(B32:B38)</f>
        <v>8244257.6900000013</v>
      </c>
      <c r="C39" s="345">
        <f>SUM(C32:C38)</f>
        <v>8195495.3100000024</v>
      </c>
      <c r="D39" s="344">
        <f>SUM(D32:D38)</f>
        <v>8134666.160000002</v>
      </c>
      <c r="E39" s="345">
        <f>SUM(E32:E38)</f>
        <v>8054114.4800000014</v>
      </c>
      <c r="F39" s="346">
        <f>SUM(F32:F38)</f>
        <v>7942048.8500000006</v>
      </c>
    </row>
    <row r="40" spans="1:6" ht="15" customHeight="1" x14ac:dyDescent="0.3">
      <c r="A40" s="302"/>
      <c r="B40" s="357"/>
      <c r="C40" s="357"/>
      <c r="D40" s="356"/>
      <c r="E40" s="357"/>
      <c r="F40" s="358"/>
    </row>
    <row r="41" spans="1:6" ht="15" customHeight="1" x14ac:dyDescent="0.3">
      <c r="A41" s="294" t="s">
        <v>28</v>
      </c>
      <c r="B41" s="802">
        <v>0</v>
      </c>
      <c r="C41" s="802">
        <v>0</v>
      </c>
      <c r="D41" s="802">
        <v>0</v>
      </c>
      <c r="E41" s="341">
        <v>0</v>
      </c>
      <c r="F41" s="342">
        <v>0</v>
      </c>
    </row>
    <row r="42" spans="1:6" ht="15" customHeight="1" x14ac:dyDescent="0.3">
      <c r="A42" s="303"/>
      <c r="B42" s="355"/>
      <c r="C42" s="355"/>
      <c r="D42" s="360"/>
      <c r="E42" s="355"/>
      <c r="F42" s="361"/>
    </row>
    <row r="43" spans="1:6" ht="15" customHeight="1" x14ac:dyDescent="0.3">
      <c r="A43" s="299" t="s">
        <v>29</v>
      </c>
      <c r="B43" s="345">
        <f>B20+B30+B39+B41</f>
        <v>11725581.620000001</v>
      </c>
      <c r="C43" s="345">
        <f>C20+C30+C39+C41</f>
        <v>11887315.990000002</v>
      </c>
      <c r="D43" s="344">
        <f>D20+D30+D39+D41</f>
        <v>12214522.970000003</v>
      </c>
      <c r="E43" s="345">
        <f>E20+E30+E39+E41</f>
        <v>12624683.270000001</v>
      </c>
      <c r="F43" s="346">
        <f>F20+F30+F39+F41</f>
        <v>12367814.970000001</v>
      </c>
    </row>
    <row r="44" spans="1:6" ht="15" customHeight="1" x14ac:dyDescent="0.3">
      <c r="A44" s="304"/>
      <c r="B44" s="365"/>
      <c r="C44" s="365"/>
      <c r="D44" s="364"/>
      <c r="E44" s="365"/>
      <c r="F44" s="366"/>
    </row>
    <row r="45" spans="1:6" ht="15" customHeight="1" x14ac:dyDescent="0.3">
      <c r="A45" s="294" t="s">
        <v>30</v>
      </c>
      <c r="B45" s="352"/>
      <c r="C45" s="352"/>
      <c r="D45" s="351"/>
      <c r="E45" s="352"/>
      <c r="F45" s="353"/>
    </row>
    <row r="46" spans="1:6" ht="15" customHeight="1" x14ac:dyDescent="0.3">
      <c r="A46" s="305"/>
      <c r="B46" s="352"/>
      <c r="C46" s="352"/>
      <c r="D46" s="351"/>
      <c r="E46" s="352"/>
      <c r="F46" s="353"/>
    </row>
    <row r="47" spans="1:6" ht="15" customHeight="1" x14ac:dyDescent="0.3">
      <c r="A47" s="294" t="s">
        <v>31</v>
      </c>
      <c r="B47" s="341"/>
      <c r="C47" s="341"/>
      <c r="D47" s="340"/>
      <c r="E47" s="341"/>
      <c r="F47" s="342"/>
    </row>
    <row r="48" spans="1:6" ht="15" customHeight="1" x14ac:dyDescent="0.3">
      <c r="A48" s="278" t="s">
        <v>32</v>
      </c>
      <c r="B48" s="802">
        <v>205224.12</v>
      </c>
      <c r="C48" s="802">
        <v>113696.62999999999</v>
      </c>
      <c r="D48" s="802">
        <v>100965.38</v>
      </c>
      <c r="E48" s="802">
        <v>108908.09999999999</v>
      </c>
      <c r="F48" s="802">
        <v>181347.79000000004</v>
      </c>
    </row>
    <row r="49" spans="1:6" ht="15" customHeight="1" x14ac:dyDescent="0.3">
      <c r="A49" s="306" t="s">
        <v>50</v>
      </c>
      <c r="B49" s="802">
        <v>-448.44</v>
      </c>
      <c r="C49" s="802">
        <v>0</v>
      </c>
      <c r="D49" s="802">
        <v>-448.44</v>
      </c>
      <c r="E49" s="802">
        <v>-448.44</v>
      </c>
      <c r="F49" s="802">
        <v>1126.56</v>
      </c>
    </row>
    <row r="50" spans="1:6" ht="15" customHeight="1" x14ac:dyDescent="0.3">
      <c r="A50" s="306" t="s">
        <v>164</v>
      </c>
      <c r="B50" s="802">
        <v>-174.58</v>
      </c>
      <c r="C50" s="802">
        <v>-174.58</v>
      </c>
      <c r="D50" s="802">
        <v>-174.58</v>
      </c>
      <c r="E50" s="802">
        <v>-174.58</v>
      </c>
      <c r="F50" s="802">
        <v>2086.67</v>
      </c>
    </row>
    <row r="51" spans="1:6" ht="15" customHeight="1" x14ac:dyDescent="0.3">
      <c r="A51" s="306" t="s">
        <v>109</v>
      </c>
      <c r="B51" s="802">
        <v>0</v>
      </c>
      <c r="C51" s="802">
        <v>0</v>
      </c>
      <c r="D51" s="802">
        <v>0</v>
      </c>
      <c r="E51" s="802">
        <v>0</v>
      </c>
      <c r="F51" s="802">
        <v>0</v>
      </c>
    </row>
    <row r="52" spans="1:6" ht="15" customHeight="1" x14ac:dyDescent="0.3">
      <c r="A52" s="306" t="s">
        <v>33</v>
      </c>
      <c r="B52" s="802">
        <v>0</v>
      </c>
      <c r="C52" s="802">
        <v>0</v>
      </c>
      <c r="D52" s="802">
        <v>0</v>
      </c>
      <c r="E52" s="802">
        <v>0</v>
      </c>
      <c r="F52" s="802">
        <v>0</v>
      </c>
    </row>
    <row r="53" spans="1:6" ht="15" customHeight="1" x14ac:dyDescent="0.3">
      <c r="A53" s="306" t="s">
        <v>34</v>
      </c>
      <c r="B53" s="802">
        <v>0</v>
      </c>
      <c r="C53" s="802">
        <v>0</v>
      </c>
      <c r="D53" s="802">
        <v>0</v>
      </c>
      <c r="E53" s="802">
        <v>0</v>
      </c>
      <c r="F53" s="802">
        <v>0</v>
      </c>
    </row>
    <row r="54" spans="1:6" ht="15" customHeight="1" x14ac:dyDescent="0.3">
      <c r="A54" s="278" t="s">
        <v>35</v>
      </c>
      <c r="B54" s="802">
        <v>59302.18</v>
      </c>
      <c r="C54" s="802">
        <v>28469.42</v>
      </c>
      <c r="D54" s="802">
        <v>15642</v>
      </c>
      <c r="E54" s="802">
        <v>15642</v>
      </c>
      <c r="F54" s="802">
        <v>32378.9</v>
      </c>
    </row>
    <row r="55" spans="1:6" ht="15" customHeight="1" x14ac:dyDescent="0.3">
      <c r="A55" s="278" t="s">
        <v>36</v>
      </c>
      <c r="B55" s="802">
        <v>0</v>
      </c>
      <c r="C55" s="802"/>
      <c r="D55" s="802">
        <v>0</v>
      </c>
      <c r="E55" s="802">
        <v>0</v>
      </c>
      <c r="F55" s="802">
        <v>1</v>
      </c>
    </row>
    <row r="56" spans="1:6" ht="15" customHeight="1" x14ac:dyDescent="0.3">
      <c r="A56" s="279" t="s">
        <v>37</v>
      </c>
      <c r="B56" s="802">
        <v>100887.74</v>
      </c>
      <c r="C56" s="802">
        <v>96147.520000000004</v>
      </c>
      <c r="D56" s="802">
        <v>93068.44</v>
      </c>
      <c r="E56" s="802">
        <v>105842.68</v>
      </c>
      <c r="F56" s="802">
        <v>139688.35999999999</v>
      </c>
    </row>
    <row r="57" spans="1:6" ht="15" customHeight="1" x14ac:dyDescent="0.3">
      <c r="A57" s="299" t="s">
        <v>38</v>
      </c>
      <c r="B57" s="345">
        <f>SUM(B48:B56)</f>
        <v>364791.02</v>
      </c>
      <c r="C57" s="345">
        <f>SUM(C48:C56)</f>
        <v>238138.99</v>
      </c>
      <c r="D57" s="344">
        <f>SUM(D48:D56)</f>
        <v>209052.79999999999</v>
      </c>
      <c r="E57" s="345">
        <f>SUM(E48:E56)</f>
        <v>229769.75999999998</v>
      </c>
      <c r="F57" s="346">
        <f>SUM(F48:F56)</f>
        <v>356629.28</v>
      </c>
    </row>
    <row r="58" spans="1:6" ht="15" customHeight="1" x14ac:dyDescent="0.3">
      <c r="A58" s="307"/>
      <c r="B58" s="348"/>
      <c r="C58" s="348"/>
      <c r="D58" s="347"/>
      <c r="E58" s="348"/>
      <c r="F58" s="349"/>
    </row>
    <row r="59" spans="1:6" ht="15" customHeight="1" x14ac:dyDescent="0.3">
      <c r="A59" s="294" t="s">
        <v>39</v>
      </c>
      <c r="B59" s="352"/>
      <c r="C59" s="352"/>
      <c r="D59" s="351"/>
      <c r="E59" s="352"/>
      <c r="F59" s="353"/>
    </row>
    <row r="60" spans="1:6" ht="15" customHeight="1" x14ac:dyDescent="0.3">
      <c r="A60" s="278" t="s">
        <v>117</v>
      </c>
      <c r="B60" s="802">
        <v>5559414.0599999996</v>
      </c>
      <c r="C60" s="802">
        <v>5345352.84</v>
      </c>
      <c r="D60" s="802">
        <v>5131291.6399999997</v>
      </c>
      <c r="E60" s="802">
        <v>4917230.42</v>
      </c>
      <c r="F60" s="802">
        <v>4703169.22</v>
      </c>
    </row>
    <row r="61" spans="1:6" ht="15" customHeight="1" x14ac:dyDescent="0.3">
      <c r="A61" s="278" t="s">
        <v>40</v>
      </c>
      <c r="B61" s="802">
        <v>18230.2</v>
      </c>
      <c r="C61" s="802">
        <v>18230.2</v>
      </c>
      <c r="D61" s="802">
        <v>18230.2</v>
      </c>
      <c r="E61" s="802">
        <v>18230.2</v>
      </c>
      <c r="F61" s="802">
        <v>18230.2</v>
      </c>
    </row>
    <row r="62" spans="1:6" ht="15" customHeight="1" x14ac:dyDescent="0.3">
      <c r="A62" s="280"/>
      <c r="B62" s="355"/>
      <c r="C62" s="355"/>
      <c r="D62" s="360"/>
      <c r="E62" s="355"/>
      <c r="F62" s="361"/>
    </row>
    <row r="63" spans="1:6" ht="15" customHeight="1" x14ac:dyDescent="0.3">
      <c r="A63" s="299" t="s">
        <v>41</v>
      </c>
      <c r="B63" s="345">
        <f>SUM(B60:B62)</f>
        <v>5577644.2599999998</v>
      </c>
      <c r="C63" s="345">
        <f>SUM(C60:C62)</f>
        <v>5363583.04</v>
      </c>
      <c r="D63" s="344">
        <f>SUM(D60:D62)</f>
        <v>5149521.84</v>
      </c>
      <c r="E63" s="345">
        <f>SUM(E60:E62)</f>
        <v>4935460.62</v>
      </c>
      <c r="F63" s="346">
        <f>SUM(F60:F62)</f>
        <v>4721399.42</v>
      </c>
    </row>
    <row r="64" spans="1:6" ht="15" customHeight="1" x14ac:dyDescent="0.3">
      <c r="A64" s="307"/>
      <c r="B64" s="348"/>
      <c r="C64" s="348"/>
      <c r="D64" s="347"/>
      <c r="E64" s="348"/>
      <c r="F64" s="349"/>
    </row>
    <row r="65" spans="1:6" ht="15" customHeight="1" x14ac:dyDescent="0.3">
      <c r="A65" s="294" t="s">
        <v>42</v>
      </c>
      <c r="B65" s="352"/>
      <c r="C65" s="352"/>
      <c r="D65" s="351"/>
      <c r="E65" s="352"/>
      <c r="F65" s="353"/>
    </row>
    <row r="66" spans="1:6" ht="15" customHeight="1" x14ac:dyDescent="0.3">
      <c r="A66" s="278" t="s">
        <v>43</v>
      </c>
      <c r="B66" s="802">
        <v>4650310.47</v>
      </c>
      <c r="C66" s="802">
        <v>4650310.47</v>
      </c>
      <c r="D66" s="802">
        <v>4650310.47</v>
      </c>
      <c r="E66" s="802">
        <v>4650310.47</v>
      </c>
      <c r="F66" s="802">
        <v>4650310.47</v>
      </c>
    </row>
    <row r="67" spans="1:6" ht="15" customHeight="1" x14ac:dyDescent="0.3">
      <c r="A67" s="278" t="s">
        <v>44</v>
      </c>
      <c r="B67" s="802">
        <v>0</v>
      </c>
      <c r="C67" s="802">
        <v>0</v>
      </c>
      <c r="D67" s="802">
        <v>0</v>
      </c>
      <c r="E67" s="802">
        <v>0</v>
      </c>
      <c r="F67" s="802">
        <v>0</v>
      </c>
    </row>
    <row r="68" spans="1:6" ht="15" customHeight="1" x14ac:dyDescent="0.3">
      <c r="A68" s="278" t="s">
        <v>45</v>
      </c>
      <c r="B68" s="802">
        <v>0</v>
      </c>
      <c r="C68" s="802">
        <v>0</v>
      </c>
      <c r="D68" s="802">
        <v>0</v>
      </c>
      <c r="E68" s="802">
        <v>0</v>
      </c>
      <c r="F68" s="802">
        <v>0</v>
      </c>
    </row>
    <row r="69" spans="1:6" ht="15" customHeight="1" x14ac:dyDescent="0.3">
      <c r="A69" s="279" t="s">
        <v>46</v>
      </c>
      <c r="B69" s="802">
        <v>1132836.07</v>
      </c>
      <c r="C69" s="802">
        <v>1635283.69</v>
      </c>
      <c r="D69" s="802">
        <v>2205638.06</v>
      </c>
      <c r="E69" s="802">
        <v>2809142.62</v>
      </c>
      <c r="F69" s="802">
        <v>2639475</v>
      </c>
    </row>
    <row r="70" spans="1:6" ht="15" customHeight="1" x14ac:dyDescent="0.3">
      <c r="A70" s="299" t="s">
        <v>47</v>
      </c>
      <c r="B70" s="345">
        <f>SUM(B66:B69)</f>
        <v>5783146.54</v>
      </c>
      <c r="C70" s="345">
        <f>SUM(C66:C69)</f>
        <v>6285594.1600000001</v>
      </c>
      <c r="D70" s="344">
        <f>SUM(D66:D69)</f>
        <v>6855948.5299999993</v>
      </c>
      <c r="E70" s="345">
        <f>SUM(E66:E69)</f>
        <v>7459453.0899999999</v>
      </c>
      <c r="F70" s="346">
        <f>SUM(F66:F69)</f>
        <v>7289785.4699999997</v>
      </c>
    </row>
    <row r="71" spans="1:6" ht="15.75" customHeight="1" x14ac:dyDescent="0.3">
      <c r="A71" s="308"/>
      <c r="B71" s="373"/>
      <c r="C71" s="373"/>
      <c r="D71" s="372"/>
      <c r="E71" s="373"/>
      <c r="F71" s="374"/>
    </row>
    <row r="72" spans="1:6" ht="16.5" customHeight="1" thickBot="1" x14ac:dyDescent="0.35">
      <c r="A72" s="309" t="s">
        <v>48</v>
      </c>
      <c r="B72" s="377">
        <f>B70+B63+B57</f>
        <v>11725581.82</v>
      </c>
      <c r="C72" s="377">
        <f>C70+C63+C57</f>
        <v>11887316.189999999</v>
      </c>
      <c r="D72" s="376">
        <f>D70+D63+D57</f>
        <v>12214523.17</v>
      </c>
      <c r="E72" s="377">
        <f>E70+E63+E57</f>
        <v>12624683.470000001</v>
      </c>
      <c r="F72" s="378">
        <f>F70+F63+F57</f>
        <v>12367814.17</v>
      </c>
    </row>
  </sheetData>
  <sheetProtection algorithmName="SHA-512" hashValue="orxuXUTswjoQptEE8VDNgGevmwpcQfMJjrCk8QBq9VsqJWsurTn20B6v24lFM9r4BYArBshDBrDq2EaMJyUJ4Q==" saltValue="PumAk+M6F3H/8Y9FUzr6Iw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0" fitToHeight="0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AE83"/>
  <sheetViews>
    <sheetView view="pageBreakPreview" zoomScale="70" zoomScaleNormal="77" zoomScaleSheetLayoutView="70" workbookViewId="0">
      <pane xSplit="1" ySplit="11" topLeftCell="C12" activePane="bottomRight" state="frozen"/>
      <selection pane="topRight" activeCell="B1" sqref="B1"/>
      <selection pane="bottomLeft" activeCell="A12" sqref="A12"/>
      <selection pane="bottomRight" activeCell="J16" sqref="J16"/>
    </sheetView>
  </sheetViews>
  <sheetFormatPr defaultRowHeight="18.75" x14ac:dyDescent="0.3"/>
  <cols>
    <col min="1" max="1" width="71.140625" style="46" customWidth="1"/>
    <col min="2" max="3" width="15.42578125" style="379" customWidth="1"/>
    <col min="4" max="4" width="13.85546875" style="379" customWidth="1"/>
    <col min="5" max="5" width="9.42578125" style="46" customWidth="1"/>
    <col min="6" max="6" width="1" style="46" customWidth="1"/>
    <col min="7" max="7" width="15.28515625" style="379" customWidth="1"/>
    <col min="8" max="8" width="15.85546875" style="379" customWidth="1"/>
    <col min="9" max="9" width="14.85546875" style="379" customWidth="1"/>
    <col min="10" max="10" width="9" style="46" customWidth="1"/>
    <col min="11" max="11" width="1.140625" style="46" customWidth="1"/>
    <col min="12" max="12" width="16.140625" style="379" customWidth="1"/>
    <col min="13" max="13" width="15.28515625" style="379" customWidth="1"/>
    <col min="14" max="14" width="14.85546875" style="379" customWidth="1"/>
    <col min="15" max="15" width="8.85546875" style="46" customWidth="1"/>
    <col min="16" max="16" width="1" style="46" customWidth="1"/>
    <col min="17" max="17" width="15.85546875" style="379" customWidth="1"/>
    <col min="18" max="18" width="16" style="379" customWidth="1"/>
    <col min="19" max="19" width="15.85546875" style="379" customWidth="1"/>
    <col min="20" max="20" width="10.7109375" style="46" customWidth="1"/>
    <col min="21" max="21" width="1.28515625" style="46" customWidth="1"/>
    <col min="22" max="23" width="15.85546875" style="379" customWidth="1"/>
    <col min="24" max="24" width="16.42578125" style="379" customWidth="1"/>
    <col min="25" max="25" width="8.42578125" style="46" customWidth="1"/>
    <col min="26" max="26" width="1" style="46" customWidth="1"/>
    <col min="27" max="27" width="16.28515625" style="379" customWidth="1"/>
    <col min="28" max="28" width="17.140625" style="379" customWidth="1"/>
    <col min="29" max="29" width="15.140625" style="46" bestFit="1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873" t="s">
        <v>49</v>
      </c>
      <c r="B1" s="459"/>
      <c r="C1" s="459"/>
      <c r="D1" s="459"/>
      <c r="E1" s="459"/>
      <c r="F1" s="458"/>
      <c r="G1" s="458"/>
      <c r="H1" s="458"/>
      <c r="I1" s="380"/>
      <c r="J1" s="458"/>
      <c r="K1" s="85"/>
      <c r="L1" s="381"/>
      <c r="M1" s="381"/>
      <c r="N1" s="381"/>
      <c r="O1" s="85"/>
      <c r="P1" s="116"/>
      <c r="Q1" s="380"/>
      <c r="R1" s="382"/>
      <c r="S1" s="394"/>
      <c r="T1" s="459"/>
      <c r="U1" s="116"/>
      <c r="V1" s="395"/>
      <c r="W1" s="395"/>
      <c r="X1" s="395"/>
      <c r="Y1" s="116"/>
      <c r="Z1" s="116"/>
      <c r="AA1" s="395"/>
      <c r="AB1" s="395"/>
      <c r="AC1" s="116"/>
      <c r="AD1" s="116"/>
      <c r="AE1" s="120"/>
    </row>
    <row r="2" spans="1:31" x14ac:dyDescent="0.3">
      <c r="A2" s="883"/>
      <c r="B2" s="384"/>
      <c r="C2" s="384"/>
      <c r="D2" s="384"/>
      <c r="E2" s="460"/>
      <c r="F2" s="92"/>
      <c r="G2" s="383"/>
      <c r="H2" s="383"/>
      <c r="I2" s="383"/>
      <c r="J2" s="92"/>
      <c r="K2" s="93"/>
      <c r="L2" s="327"/>
      <c r="M2" s="327"/>
      <c r="N2" s="327"/>
      <c r="O2" s="93"/>
      <c r="P2" s="93"/>
      <c r="Q2" s="383"/>
      <c r="R2" s="384"/>
      <c r="S2" s="396"/>
      <c r="T2" s="460"/>
      <c r="U2" s="93"/>
      <c r="V2" s="397"/>
      <c r="W2" s="397"/>
      <c r="X2" s="397"/>
      <c r="Y2" s="130"/>
      <c r="Z2" s="93"/>
      <c r="AA2" s="397"/>
      <c r="AB2" s="397"/>
      <c r="AC2" s="130"/>
      <c r="AD2" s="93"/>
      <c r="AE2" s="125"/>
    </row>
    <row r="3" spans="1:31" s="49" customFormat="1" x14ac:dyDescent="0.3">
      <c r="A3" s="874" t="s">
        <v>172</v>
      </c>
      <c r="B3" s="462"/>
      <c r="C3" s="462"/>
      <c r="D3" s="462"/>
      <c r="E3" s="462"/>
      <c r="F3" s="466"/>
      <c r="G3" s="466"/>
      <c r="H3" s="466"/>
      <c r="I3" s="385"/>
      <c r="J3" s="461"/>
      <c r="K3" s="99"/>
      <c r="L3" s="386"/>
      <c r="M3" s="386"/>
      <c r="N3" s="386"/>
      <c r="O3" s="99"/>
      <c r="P3" s="126"/>
      <c r="Q3" s="385"/>
      <c r="R3" s="387"/>
      <c r="S3" s="393"/>
      <c r="T3" s="462"/>
      <c r="U3" s="126"/>
      <c r="V3" s="398"/>
      <c r="W3" s="398"/>
      <c r="X3" s="398"/>
      <c r="Y3" s="126"/>
      <c r="Z3" s="126"/>
      <c r="AA3" s="398"/>
      <c r="AB3" s="398"/>
      <c r="AC3" s="126"/>
      <c r="AD3" s="126"/>
      <c r="AE3" s="129"/>
    </row>
    <row r="4" spans="1:31" x14ac:dyDescent="0.3">
      <c r="A4" s="876" t="s">
        <v>51</v>
      </c>
      <c r="B4" s="877"/>
      <c r="C4" s="877"/>
      <c r="D4" s="877"/>
      <c r="E4" s="877"/>
      <c r="F4" s="463"/>
      <c r="G4" s="463"/>
      <c r="H4" s="463"/>
      <c r="I4" s="383"/>
      <c r="J4" s="463"/>
      <c r="K4" s="104"/>
      <c r="L4" s="388"/>
      <c r="M4" s="388"/>
      <c r="N4" s="388"/>
      <c r="O4" s="104"/>
      <c r="P4" s="130"/>
      <c r="Q4" s="389"/>
      <c r="R4" s="390"/>
      <c r="S4" s="396"/>
      <c r="T4" s="464"/>
      <c r="U4" s="130"/>
      <c r="V4" s="397"/>
      <c r="W4" s="397"/>
      <c r="X4" s="397"/>
      <c r="Y4" s="130"/>
      <c r="Z4" s="130"/>
      <c r="AA4" s="397"/>
      <c r="AB4" s="397"/>
      <c r="AC4" s="130"/>
      <c r="AD4" s="130"/>
      <c r="AE4" s="125"/>
    </row>
    <row r="5" spans="1:31" x14ac:dyDescent="0.3">
      <c r="A5" s="876" t="s">
        <v>52</v>
      </c>
      <c r="B5" s="460"/>
      <c r="C5" s="460"/>
      <c r="D5" s="460"/>
      <c r="E5" s="460"/>
      <c r="F5" s="92"/>
      <c r="G5" s="92"/>
      <c r="H5" s="92"/>
      <c r="I5" s="383"/>
      <c r="J5" s="92"/>
      <c r="K5" s="104"/>
      <c r="L5" s="388"/>
      <c r="M5" s="388"/>
      <c r="N5" s="388"/>
      <c r="O5" s="104"/>
      <c r="P5" s="130"/>
      <c r="Q5" s="389"/>
      <c r="R5" s="390"/>
      <c r="S5" s="396"/>
      <c r="T5" s="464"/>
      <c r="U5" s="130"/>
      <c r="V5" s="397"/>
      <c r="W5" s="397"/>
      <c r="X5" s="397"/>
      <c r="Y5" s="130"/>
      <c r="Z5" s="130"/>
      <c r="AA5" s="397"/>
      <c r="AB5" s="397"/>
      <c r="AC5" s="130"/>
      <c r="AD5" s="130"/>
      <c r="AE5" s="125"/>
    </row>
    <row r="6" spans="1:31" s="49" customFormat="1" x14ac:dyDescent="0.3">
      <c r="A6" s="874" t="s">
        <v>191</v>
      </c>
      <c r="B6" s="878"/>
      <c r="C6" s="878"/>
      <c r="D6" s="878"/>
      <c r="E6" s="878"/>
      <c r="F6" s="744"/>
      <c r="G6" s="744"/>
      <c r="H6" s="744"/>
      <c r="I6" s="385"/>
      <c r="J6" s="461"/>
      <c r="K6" s="110"/>
      <c r="L6" s="391"/>
      <c r="M6" s="391"/>
      <c r="N6" s="391"/>
      <c r="O6" s="110"/>
      <c r="P6" s="126"/>
      <c r="Q6" s="392"/>
      <c r="R6" s="393"/>
      <c r="S6" s="393"/>
      <c r="T6" s="465"/>
      <c r="U6" s="126"/>
      <c r="V6" s="398"/>
      <c r="W6" s="398"/>
      <c r="X6" s="398"/>
      <c r="Y6" s="126"/>
      <c r="Z6" s="126"/>
      <c r="AA6" s="386"/>
      <c r="AB6" s="386"/>
      <c r="AC6" s="126"/>
      <c r="AD6" s="126"/>
      <c r="AE6" s="129"/>
    </row>
    <row r="7" spans="1:31" s="49" customFormat="1" x14ac:dyDescent="0.3">
      <c r="A7" s="872" t="s">
        <v>2</v>
      </c>
      <c r="B7" s="462"/>
      <c r="C7" s="462"/>
      <c r="D7" s="462"/>
      <c r="E7" s="462"/>
      <c r="F7" s="466"/>
      <c r="G7" s="466"/>
      <c r="H7" s="466"/>
      <c r="I7" s="385"/>
      <c r="J7" s="466"/>
      <c r="K7" s="110"/>
      <c r="L7" s="391"/>
      <c r="M7" s="391"/>
      <c r="N7" s="391"/>
      <c r="O7" s="110"/>
      <c r="P7" s="126"/>
      <c r="Q7" s="392"/>
      <c r="R7" s="393"/>
      <c r="S7" s="393"/>
      <c r="T7" s="465"/>
      <c r="U7" s="126"/>
      <c r="V7" s="398"/>
      <c r="W7" s="398"/>
      <c r="X7" s="398"/>
      <c r="Y7" s="126"/>
      <c r="Z7" s="126"/>
      <c r="AA7" s="398"/>
      <c r="AB7" s="398"/>
      <c r="AC7" s="126"/>
      <c r="AD7" s="126"/>
      <c r="AE7" s="129"/>
    </row>
    <row r="8" spans="1:31" ht="19.5" thickBot="1" x14ac:dyDescent="0.35">
      <c r="A8" s="467" t="s">
        <v>169</v>
      </c>
      <c r="B8" s="882"/>
      <c r="C8" s="881"/>
      <c r="D8" s="881"/>
      <c r="E8" s="880"/>
      <c r="F8" s="130"/>
      <c r="G8" s="397"/>
      <c r="H8" s="397"/>
      <c r="I8" s="397"/>
      <c r="J8" s="130"/>
      <c r="K8" s="130"/>
      <c r="L8" s="397"/>
      <c r="M8" s="397"/>
      <c r="N8" s="397"/>
      <c r="O8" s="130"/>
      <c r="P8" s="130"/>
      <c r="Q8" s="397"/>
      <c r="R8" s="397"/>
      <c r="S8" s="397"/>
      <c r="T8" s="130"/>
      <c r="U8" s="134"/>
      <c r="V8" s="397"/>
      <c r="W8" s="397"/>
      <c r="X8" s="397"/>
      <c r="Y8" s="130"/>
      <c r="Z8" s="134"/>
      <c r="AA8" s="397"/>
      <c r="AB8" s="397"/>
      <c r="AC8" s="130"/>
      <c r="AD8" s="130"/>
      <c r="AE8" s="125"/>
    </row>
    <row r="9" spans="1:31" x14ac:dyDescent="0.3">
      <c r="A9" s="468"/>
      <c r="B9" s="1725" t="s">
        <v>53</v>
      </c>
      <c r="C9" s="1718"/>
      <c r="D9" s="1718"/>
      <c r="E9" s="1719"/>
      <c r="F9" s="794"/>
      <c r="G9" s="1744" t="s">
        <v>54</v>
      </c>
      <c r="H9" s="1718"/>
      <c r="I9" s="1718"/>
      <c r="J9" s="1719"/>
      <c r="K9" s="794"/>
      <c r="L9" s="1726" t="s">
        <v>55</v>
      </c>
      <c r="M9" s="1727"/>
      <c r="N9" s="1727"/>
      <c r="O9" s="1746"/>
      <c r="P9" s="794"/>
      <c r="Q9" s="1744" t="s">
        <v>56</v>
      </c>
      <c r="R9" s="1718"/>
      <c r="S9" s="1718"/>
      <c r="T9" s="1719"/>
      <c r="U9" s="136"/>
      <c r="V9" s="1745" t="s">
        <v>57</v>
      </c>
      <c r="W9" s="1727"/>
      <c r="X9" s="1727"/>
      <c r="Y9" s="1746"/>
      <c r="Z9" s="136"/>
      <c r="AA9" s="1745" t="s">
        <v>190</v>
      </c>
      <c r="AB9" s="1727"/>
      <c r="AC9" s="1746"/>
      <c r="AD9" s="1238"/>
      <c r="AE9" s="1738" t="s">
        <v>58</v>
      </c>
    </row>
    <row r="10" spans="1:31" ht="37.5" x14ac:dyDescent="0.3">
      <c r="A10" s="469" t="s">
        <v>59</v>
      </c>
      <c r="B10" s="401" t="s">
        <v>60</v>
      </c>
      <c r="C10" s="402" t="s">
        <v>61</v>
      </c>
      <c r="D10" s="1714" t="s">
        <v>62</v>
      </c>
      <c r="E10" s="1711"/>
      <c r="F10" s="795"/>
      <c r="G10" s="786" t="s">
        <v>60</v>
      </c>
      <c r="H10" s="572" t="s">
        <v>61</v>
      </c>
      <c r="I10" s="1710" t="s">
        <v>62</v>
      </c>
      <c r="J10" s="1711"/>
      <c r="K10" s="795"/>
      <c r="L10" s="557" t="s">
        <v>60</v>
      </c>
      <c r="M10" s="402" t="s">
        <v>61</v>
      </c>
      <c r="N10" s="1714" t="s">
        <v>62</v>
      </c>
      <c r="O10" s="1711"/>
      <c r="P10" s="795"/>
      <c r="Q10" s="557" t="s">
        <v>60</v>
      </c>
      <c r="R10" s="402" t="s">
        <v>61</v>
      </c>
      <c r="S10" s="1714" t="s">
        <v>62</v>
      </c>
      <c r="T10" s="1711"/>
      <c r="U10" s="139"/>
      <c r="V10" s="401" t="s">
        <v>60</v>
      </c>
      <c r="W10" s="402" t="s">
        <v>61</v>
      </c>
      <c r="X10" s="1714" t="s">
        <v>62</v>
      </c>
      <c r="Y10" s="1711"/>
      <c r="Z10" s="139"/>
      <c r="AA10" s="403" t="s">
        <v>63</v>
      </c>
      <c r="AB10" s="1714" t="s">
        <v>64</v>
      </c>
      <c r="AC10" s="1711"/>
      <c r="AD10" s="1169"/>
      <c r="AE10" s="1739"/>
    </row>
    <row r="11" spans="1:31" ht="19.5" thickBot="1" x14ac:dyDescent="0.35">
      <c r="A11" s="1333"/>
      <c r="B11" s="586" t="s">
        <v>107</v>
      </c>
      <c r="C11" s="558" t="s">
        <v>107</v>
      </c>
      <c r="D11" s="559" t="s">
        <v>107</v>
      </c>
      <c r="E11" s="471" t="s">
        <v>65</v>
      </c>
      <c r="F11" s="796"/>
      <c r="G11" s="574" t="s">
        <v>107</v>
      </c>
      <c r="H11" s="573" t="s">
        <v>107</v>
      </c>
      <c r="I11" s="574" t="s">
        <v>107</v>
      </c>
      <c r="J11" s="472" t="s">
        <v>65</v>
      </c>
      <c r="K11" s="796"/>
      <c r="L11" s="800" t="s">
        <v>107</v>
      </c>
      <c r="M11" s="580" t="s">
        <v>107</v>
      </c>
      <c r="N11" s="581" t="s">
        <v>107</v>
      </c>
      <c r="O11" s="472" t="s">
        <v>65</v>
      </c>
      <c r="P11" s="796"/>
      <c r="Q11" s="800" t="s">
        <v>107</v>
      </c>
      <c r="R11" s="580" t="s">
        <v>107</v>
      </c>
      <c r="S11" s="581" t="s">
        <v>107</v>
      </c>
      <c r="T11" s="472" t="s">
        <v>65</v>
      </c>
      <c r="U11" s="146"/>
      <c r="V11" s="579" t="s">
        <v>107</v>
      </c>
      <c r="W11" s="580" t="s">
        <v>107</v>
      </c>
      <c r="X11" s="581" t="s">
        <v>107</v>
      </c>
      <c r="Y11" s="472" t="s">
        <v>65</v>
      </c>
      <c r="Z11" s="146"/>
      <c r="AA11" s="579" t="s">
        <v>107</v>
      </c>
      <c r="AB11" s="581" t="s">
        <v>107</v>
      </c>
      <c r="AC11" s="472" t="s">
        <v>65</v>
      </c>
      <c r="AD11" s="1170"/>
      <c r="AE11" s="1776"/>
    </row>
    <row r="12" spans="1:31" x14ac:dyDescent="0.3">
      <c r="A12" s="1334"/>
      <c r="B12" s="748"/>
      <c r="C12" s="561"/>
      <c r="D12" s="749"/>
      <c r="E12" s="474"/>
      <c r="F12" s="797"/>
      <c r="G12" s="560"/>
      <c r="H12" s="409"/>
      <c r="I12" s="560"/>
      <c r="J12" s="474"/>
      <c r="K12" s="797"/>
      <c r="L12" s="561"/>
      <c r="M12" s="583"/>
      <c r="N12" s="562"/>
      <c r="O12" s="474"/>
      <c r="P12" s="797"/>
      <c r="Q12" s="561"/>
      <c r="R12" s="583"/>
      <c r="S12" s="562"/>
      <c r="T12" s="474"/>
      <c r="U12" s="156"/>
      <c r="V12" s="582"/>
      <c r="W12" s="583"/>
      <c r="X12" s="562"/>
      <c r="Y12" s="474"/>
      <c r="Z12" s="156"/>
      <c r="AA12" s="582"/>
      <c r="AB12" s="562"/>
      <c r="AC12" s="474"/>
      <c r="AD12" s="1171"/>
      <c r="AE12" s="1175"/>
    </row>
    <row r="13" spans="1:31" x14ac:dyDescent="0.3">
      <c r="A13" s="483" t="s">
        <v>66</v>
      </c>
      <c r="B13" s="1107"/>
      <c r="C13" s="745"/>
      <c r="D13" s="746"/>
      <c r="E13" s="747"/>
      <c r="F13" s="781"/>
      <c r="G13" s="787"/>
      <c r="H13" s="575"/>
      <c r="I13" s="569"/>
      <c r="J13" s="475"/>
      <c r="K13" s="781"/>
      <c r="L13" s="569"/>
      <c r="M13" s="437"/>
      <c r="N13" s="437"/>
      <c r="O13" s="475"/>
      <c r="P13" s="781"/>
      <c r="Q13" s="569"/>
      <c r="R13" s="437"/>
      <c r="S13" s="437"/>
      <c r="T13" s="475"/>
      <c r="U13" s="160"/>
      <c r="V13" s="436"/>
      <c r="W13" s="437"/>
      <c r="X13" s="437"/>
      <c r="Y13" s="475"/>
      <c r="Z13" s="160"/>
      <c r="AA13" s="436"/>
      <c r="AB13" s="437"/>
      <c r="AC13" s="475"/>
      <c r="AD13" s="1168"/>
      <c r="AE13" s="1178"/>
    </row>
    <row r="14" spans="1:31" x14ac:dyDescent="0.3">
      <c r="A14" s="1335" t="s">
        <v>132</v>
      </c>
      <c r="B14" s="1102">
        <v>283291</v>
      </c>
      <c r="C14" s="1100">
        <v>262228.52</v>
      </c>
      <c r="D14" s="415">
        <f>C14-B14</f>
        <v>-21062.479999999981</v>
      </c>
      <c r="E14" s="196">
        <f>IF(ISERROR(D14/B14),"-",D14/B14)</f>
        <v>-7.4349273362019908E-2</v>
      </c>
      <c r="F14" s="782"/>
      <c r="G14" s="1102">
        <v>168565.39999999997</v>
      </c>
      <c r="H14" s="576">
        <v>156988.03999999998</v>
      </c>
      <c r="I14" s="567">
        <f>H14-G14</f>
        <v>-11577.359999999986</v>
      </c>
      <c r="J14" s="194">
        <f t="shared" ref="J14:J25" si="0">IF(ISERROR(I14/G14),"-",I14/G14)</f>
        <v>-6.8681710481510366E-2</v>
      </c>
      <c r="K14" s="782"/>
      <c r="L14" s="1102">
        <v>452761.9</v>
      </c>
      <c r="M14" s="1704">
        <v>243899.84</v>
      </c>
      <c r="N14" s="415">
        <f>M14-L14</f>
        <v>-208862.06000000003</v>
      </c>
      <c r="O14" s="194">
        <f t="shared" ref="O14:O25" si="1">IF(ISERROR(N14/L14),"-",N14/L14)</f>
        <v>-0.46130661612648949</v>
      </c>
      <c r="P14" s="782"/>
      <c r="Q14" s="563">
        <v>0</v>
      </c>
      <c r="R14" s="576">
        <v>-29831.679999999924</v>
      </c>
      <c r="S14" s="415">
        <f>R14-Q14</f>
        <v>-29831.679999999924</v>
      </c>
      <c r="T14" s="194" t="str">
        <f>IF(ISERROR(S14/Q14),"-",S14/Q14)</f>
        <v>-</v>
      </c>
      <c r="U14" s="166"/>
      <c r="V14" s="414">
        <f t="shared" ref="V14:V24" si="2">B14+G14+L14+Q14</f>
        <v>904618.3</v>
      </c>
      <c r="W14" s="415">
        <f t="shared" ref="W14:W24" si="3">C14+H14+M14+R14</f>
        <v>633284.72000000009</v>
      </c>
      <c r="X14" s="415">
        <f>W14-V14</f>
        <v>-271333.57999999996</v>
      </c>
      <c r="Y14" s="194">
        <f t="shared" ref="Y14:Y25" si="4">IF(ISERROR(X14/V14),"-",X14/V14)</f>
        <v>-0.29994261668153294</v>
      </c>
      <c r="Z14" s="166"/>
      <c r="AA14" s="414">
        <v>904618.31</v>
      </c>
      <c r="AB14" s="415">
        <f>AA14-W14</f>
        <v>271333.58999999997</v>
      </c>
      <c r="AC14" s="194">
        <f t="shared" ref="AC14:AC25" si="5">IF(ISERROR(AB14/AA14),"-",AB14/AA14)</f>
        <v>0.29994262442023745</v>
      </c>
      <c r="AD14" s="1162"/>
      <c r="AE14" s="1178"/>
    </row>
    <row r="15" spans="1:31" x14ac:dyDescent="0.3">
      <c r="A15" s="476" t="s">
        <v>111</v>
      </c>
      <c r="B15" s="1098">
        <v>0</v>
      </c>
      <c r="C15" s="570">
        <v>1</v>
      </c>
      <c r="D15" s="415">
        <f t="shared" ref="D15:D24" si="6">C15-B15</f>
        <v>1</v>
      </c>
      <c r="E15" s="196" t="str">
        <f t="shared" ref="E15:E24" si="7">IF(ISERROR(D15/B15),"-",D15/B15)</f>
        <v>-</v>
      </c>
      <c r="F15" s="782"/>
      <c r="G15" s="1098">
        <v>0</v>
      </c>
      <c r="H15" s="577">
        <v>1</v>
      </c>
      <c r="I15" s="567">
        <f t="shared" ref="I15:I24" si="8">H15-G15</f>
        <v>1</v>
      </c>
      <c r="J15" s="194" t="str">
        <f>IF(ISERROR(I15/G15),"-",I15/G15)</f>
        <v>-</v>
      </c>
      <c r="K15" s="782"/>
      <c r="L15" s="1102">
        <v>1</v>
      </c>
      <c r="M15" s="1704">
        <v>1</v>
      </c>
      <c r="N15" s="415">
        <f t="shared" ref="N15:N24" si="9">M15-L15</f>
        <v>0</v>
      </c>
      <c r="O15" s="266">
        <f t="shared" si="1"/>
        <v>0</v>
      </c>
      <c r="P15" s="782"/>
      <c r="Q15" s="563">
        <v>1</v>
      </c>
      <c r="R15" s="576">
        <v>1</v>
      </c>
      <c r="S15" s="415">
        <f t="shared" ref="S15:S24" si="10">R15-Q15</f>
        <v>0</v>
      </c>
      <c r="T15" s="266">
        <f t="shared" ref="T15:T29" si="11">IF(ISERROR(S15/Q15),"-",S15/Q15)</f>
        <v>0</v>
      </c>
      <c r="U15" s="166"/>
      <c r="V15" s="414">
        <f t="shared" si="2"/>
        <v>2</v>
      </c>
      <c r="W15" s="415">
        <f t="shared" si="3"/>
        <v>4</v>
      </c>
      <c r="X15" s="415">
        <f t="shared" ref="X15:X24" si="12">W15-V15</f>
        <v>2</v>
      </c>
      <c r="Y15" s="266">
        <f t="shared" si="4"/>
        <v>1</v>
      </c>
      <c r="Z15" s="166"/>
      <c r="AA15" s="1104">
        <v>0</v>
      </c>
      <c r="AB15" s="415">
        <f t="shared" ref="AB15:AB24" si="13">AA15-W15</f>
        <v>-4</v>
      </c>
      <c r="AC15" s="266" t="str">
        <f t="shared" si="5"/>
        <v>-</v>
      </c>
      <c r="AD15" s="1162"/>
      <c r="AE15" s="1178"/>
    </row>
    <row r="16" spans="1:31" x14ac:dyDescent="0.3">
      <c r="A16" s="476" t="s">
        <v>69</v>
      </c>
      <c r="B16" s="1098">
        <v>0</v>
      </c>
      <c r="C16" s="570">
        <v>0</v>
      </c>
      <c r="D16" s="415">
        <f t="shared" si="6"/>
        <v>0</v>
      </c>
      <c r="E16" s="196" t="str">
        <f t="shared" si="7"/>
        <v>-</v>
      </c>
      <c r="F16" s="783"/>
      <c r="G16" s="1098">
        <v>0</v>
      </c>
      <c r="H16" s="577">
        <v>0</v>
      </c>
      <c r="I16" s="567">
        <f t="shared" si="8"/>
        <v>0</v>
      </c>
      <c r="J16" s="194" t="str">
        <f t="shared" si="0"/>
        <v>-</v>
      </c>
      <c r="K16" s="783"/>
      <c r="L16" s="1102">
        <v>0</v>
      </c>
      <c r="M16" s="563">
        <v>0</v>
      </c>
      <c r="N16" s="415">
        <f t="shared" si="9"/>
        <v>0</v>
      </c>
      <c r="O16" s="194" t="str">
        <f>IF(ISERROR(N16/L16),"-",N16/L16)</f>
        <v>-</v>
      </c>
      <c r="P16" s="783"/>
      <c r="Q16" s="563">
        <v>4500</v>
      </c>
      <c r="R16" s="576">
        <v>5326</v>
      </c>
      <c r="S16" s="415">
        <f t="shared" si="10"/>
        <v>826</v>
      </c>
      <c r="T16" s="194">
        <f t="shared" si="11"/>
        <v>0.18355555555555556</v>
      </c>
      <c r="U16" s="171"/>
      <c r="V16" s="414">
        <f>B16+G16+L16+Q16</f>
        <v>4500</v>
      </c>
      <c r="W16" s="415">
        <f t="shared" si="3"/>
        <v>5326</v>
      </c>
      <c r="X16" s="415">
        <f t="shared" si="12"/>
        <v>826</v>
      </c>
      <c r="Y16" s="194">
        <f>IF(ISERROR(X16/V16),"-",X16/V16)</f>
        <v>0.18355555555555556</v>
      </c>
      <c r="Z16" s="171"/>
      <c r="AA16" s="414">
        <v>4500</v>
      </c>
      <c r="AB16" s="415">
        <f t="shared" si="13"/>
        <v>-826</v>
      </c>
      <c r="AC16" s="194">
        <f t="shared" si="5"/>
        <v>-0.18355555555555556</v>
      </c>
      <c r="AD16" s="1163"/>
      <c r="AE16" s="1179"/>
    </row>
    <row r="17" spans="1:31" x14ac:dyDescent="0.3">
      <c r="A17" s="476" t="s">
        <v>68</v>
      </c>
      <c r="B17" s="1098">
        <v>0</v>
      </c>
      <c r="C17" s="564">
        <v>0</v>
      </c>
      <c r="D17" s="415">
        <f t="shared" si="6"/>
        <v>0</v>
      </c>
      <c r="E17" s="196" t="str">
        <f t="shared" si="7"/>
        <v>-</v>
      </c>
      <c r="F17" s="782"/>
      <c r="G17" s="1098">
        <v>0</v>
      </c>
      <c r="H17" s="577">
        <v>0</v>
      </c>
      <c r="I17" s="567">
        <f t="shared" si="8"/>
        <v>0</v>
      </c>
      <c r="J17" s="194" t="str">
        <f t="shared" si="0"/>
        <v>-</v>
      </c>
      <c r="K17" s="782"/>
      <c r="L17" s="1102">
        <v>0</v>
      </c>
      <c r="M17" s="563">
        <v>0</v>
      </c>
      <c r="N17" s="415">
        <f t="shared" si="9"/>
        <v>0</v>
      </c>
      <c r="O17" s="194" t="str">
        <f t="shared" si="1"/>
        <v>-</v>
      </c>
      <c r="P17" s="782"/>
      <c r="Q17" s="563">
        <v>0</v>
      </c>
      <c r="R17" s="563">
        <v>0</v>
      </c>
      <c r="S17" s="415">
        <f t="shared" si="10"/>
        <v>0</v>
      </c>
      <c r="T17" s="194" t="str">
        <f t="shared" si="11"/>
        <v>-</v>
      </c>
      <c r="U17" s="166"/>
      <c r="V17" s="414">
        <f t="shared" si="2"/>
        <v>0</v>
      </c>
      <c r="W17" s="415">
        <f t="shared" si="3"/>
        <v>0</v>
      </c>
      <c r="X17" s="415">
        <f t="shared" si="12"/>
        <v>0</v>
      </c>
      <c r="Y17" s="194" t="str">
        <f t="shared" si="4"/>
        <v>-</v>
      </c>
      <c r="Z17" s="166"/>
      <c r="AA17" s="1104">
        <v>0</v>
      </c>
      <c r="AB17" s="415">
        <f t="shared" si="13"/>
        <v>0</v>
      </c>
      <c r="AC17" s="194" t="str">
        <f t="shared" si="5"/>
        <v>-</v>
      </c>
      <c r="AD17" s="1162"/>
      <c r="AE17" s="1178"/>
    </row>
    <row r="18" spans="1:31" x14ac:dyDescent="0.3">
      <c r="A18" s="476" t="s">
        <v>71</v>
      </c>
      <c r="B18" s="1098">
        <v>0</v>
      </c>
      <c r="C18" s="564">
        <v>0</v>
      </c>
      <c r="D18" s="415">
        <f>C18-B18</f>
        <v>0</v>
      </c>
      <c r="E18" s="196" t="str">
        <f t="shared" si="7"/>
        <v>-</v>
      </c>
      <c r="F18" s="782"/>
      <c r="G18" s="1098">
        <v>0</v>
      </c>
      <c r="H18" s="577">
        <v>0</v>
      </c>
      <c r="I18" s="567">
        <f t="shared" si="8"/>
        <v>0</v>
      </c>
      <c r="J18" s="194" t="str">
        <f t="shared" si="0"/>
        <v>-</v>
      </c>
      <c r="K18" s="782"/>
      <c r="L18" s="1102">
        <v>0</v>
      </c>
      <c r="M18" s="563">
        <v>0</v>
      </c>
      <c r="N18" s="415">
        <f t="shared" si="9"/>
        <v>0</v>
      </c>
      <c r="O18" s="266" t="str">
        <f t="shared" si="1"/>
        <v>-</v>
      </c>
      <c r="P18" s="782"/>
      <c r="Q18" s="563">
        <v>0</v>
      </c>
      <c r="R18" s="563">
        <v>0</v>
      </c>
      <c r="S18" s="415">
        <f t="shared" si="10"/>
        <v>0</v>
      </c>
      <c r="T18" s="266" t="str">
        <f t="shared" si="11"/>
        <v>-</v>
      </c>
      <c r="U18" s="166"/>
      <c r="V18" s="414">
        <f t="shared" si="2"/>
        <v>0</v>
      </c>
      <c r="W18" s="415">
        <f t="shared" si="3"/>
        <v>0</v>
      </c>
      <c r="X18" s="415">
        <f t="shared" si="12"/>
        <v>0</v>
      </c>
      <c r="Y18" s="266" t="str">
        <f t="shared" si="4"/>
        <v>-</v>
      </c>
      <c r="Z18" s="166"/>
      <c r="AA18" s="1104">
        <v>0</v>
      </c>
      <c r="AB18" s="415">
        <f t="shared" si="13"/>
        <v>0</v>
      </c>
      <c r="AC18" s="266" t="str">
        <f t="shared" si="5"/>
        <v>-</v>
      </c>
      <c r="AD18" s="1162"/>
      <c r="AE18" s="1178"/>
    </row>
    <row r="19" spans="1:31" x14ac:dyDescent="0.3">
      <c r="A19" s="476" t="s">
        <v>188</v>
      </c>
      <c r="B19" s="1098">
        <v>0</v>
      </c>
      <c r="C19" s="564">
        <v>0</v>
      </c>
      <c r="D19" s="415">
        <f t="shared" ref="D19:D20" si="14">C19-B19</f>
        <v>0</v>
      </c>
      <c r="E19" s="196" t="str">
        <f t="shared" si="7"/>
        <v>-</v>
      </c>
      <c r="F19" s="782"/>
      <c r="G19" s="1098">
        <v>0</v>
      </c>
      <c r="H19" s="577">
        <v>0</v>
      </c>
      <c r="I19" s="604">
        <f t="shared" si="8"/>
        <v>0</v>
      </c>
      <c r="J19" s="1003" t="str">
        <f t="shared" si="0"/>
        <v>-</v>
      </c>
      <c r="K19" s="782"/>
      <c r="L19" s="1102">
        <v>0</v>
      </c>
      <c r="M19" s="563">
        <v>0</v>
      </c>
      <c r="N19" s="415">
        <f t="shared" si="9"/>
        <v>0</v>
      </c>
      <c r="O19" s="266" t="str">
        <f t="shared" si="1"/>
        <v>-</v>
      </c>
      <c r="P19" s="782"/>
      <c r="Q19" s="563">
        <v>0</v>
      </c>
      <c r="R19" s="563">
        <v>0</v>
      </c>
      <c r="S19" s="415">
        <f t="shared" si="10"/>
        <v>0</v>
      </c>
      <c r="T19" s="266" t="str">
        <f t="shared" si="11"/>
        <v>-</v>
      </c>
      <c r="U19" s="166"/>
      <c r="V19" s="417">
        <f t="shared" si="2"/>
        <v>0</v>
      </c>
      <c r="W19" s="416">
        <f t="shared" si="3"/>
        <v>0</v>
      </c>
      <c r="X19" s="415">
        <f t="shared" si="12"/>
        <v>0</v>
      </c>
      <c r="Y19" s="266" t="str">
        <f t="shared" si="4"/>
        <v>-</v>
      </c>
      <c r="Z19" s="166"/>
      <c r="AA19" s="1104">
        <v>0</v>
      </c>
      <c r="AB19" s="415">
        <f t="shared" si="13"/>
        <v>0</v>
      </c>
      <c r="AC19" s="266" t="str">
        <f t="shared" si="5"/>
        <v>-</v>
      </c>
      <c r="AD19" s="1162"/>
      <c r="AE19" s="1178"/>
    </row>
    <row r="20" spans="1:31" x14ac:dyDescent="0.3">
      <c r="A20" s="1336" t="s">
        <v>67</v>
      </c>
      <c r="B20" s="1098">
        <v>0</v>
      </c>
      <c r="C20" s="564">
        <v>0</v>
      </c>
      <c r="D20" s="415">
        <f t="shared" si="14"/>
        <v>0</v>
      </c>
      <c r="E20" s="743" t="str">
        <f t="shared" si="7"/>
        <v>-</v>
      </c>
      <c r="F20" s="975"/>
      <c r="G20" s="1098">
        <v>0</v>
      </c>
      <c r="H20" s="577">
        <v>0</v>
      </c>
      <c r="I20" s="1097">
        <f t="shared" si="8"/>
        <v>0</v>
      </c>
      <c r="J20" s="1095" t="str">
        <f t="shared" si="0"/>
        <v>-</v>
      </c>
      <c r="K20" s="975"/>
      <c r="L20" s="1102">
        <v>0</v>
      </c>
      <c r="M20" s="563">
        <v>0</v>
      </c>
      <c r="N20" s="627">
        <f t="shared" si="9"/>
        <v>0</v>
      </c>
      <c r="O20" s="980" t="str">
        <f t="shared" si="1"/>
        <v>-</v>
      </c>
      <c r="P20" s="782"/>
      <c r="Q20" s="563">
        <v>0</v>
      </c>
      <c r="R20" s="563">
        <v>0</v>
      </c>
      <c r="S20" s="627">
        <f>R20-Q20</f>
        <v>0</v>
      </c>
      <c r="T20" s="980" t="str">
        <f>IF(ISERROR(S20/Q20),"-",S20/Q20)</f>
        <v>-</v>
      </c>
      <c r="U20" s="166"/>
      <c r="V20" s="414">
        <f t="shared" si="2"/>
        <v>0</v>
      </c>
      <c r="W20" s="415">
        <f t="shared" si="3"/>
        <v>0</v>
      </c>
      <c r="X20" s="627">
        <f t="shared" si="12"/>
        <v>0</v>
      </c>
      <c r="Y20" s="980" t="str">
        <f t="shared" si="4"/>
        <v>-</v>
      </c>
      <c r="Z20" s="166"/>
      <c r="AA20" s="1104">
        <v>0</v>
      </c>
      <c r="AB20" s="627">
        <f t="shared" si="13"/>
        <v>0</v>
      </c>
      <c r="AC20" s="980" t="str">
        <f t="shared" si="5"/>
        <v>-</v>
      </c>
      <c r="AD20" s="1162"/>
      <c r="AE20" s="1353"/>
    </row>
    <row r="21" spans="1:31" x14ac:dyDescent="0.3">
      <c r="A21" s="1337" t="s">
        <v>112</v>
      </c>
      <c r="B21" s="992">
        <v>1249294.5</v>
      </c>
      <c r="C21" s="1101">
        <v>1249294.5</v>
      </c>
      <c r="D21" s="627">
        <f t="shared" si="6"/>
        <v>0</v>
      </c>
      <c r="E21" s="743">
        <f t="shared" si="7"/>
        <v>0</v>
      </c>
      <c r="F21" s="975"/>
      <c r="G21" s="992">
        <v>1249294.5</v>
      </c>
      <c r="H21" s="976">
        <v>1249294.5</v>
      </c>
      <c r="I21" s="990">
        <f t="shared" si="8"/>
        <v>0</v>
      </c>
      <c r="J21" s="977">
        <f t="shared" si="0"/>
        <v>0</v>
      </c>
      <c r="K21" s="975"/>
      <c r="L21" s="1706">
        <v>1249294.5</v>
      </c>
      <c r="M21" s="1705">
        <v>1249294.5</v>
      </c>
      <c r="N21" s="627">
        <f t="shared" si="9"/>
        <v>0</v>
      </c>
      <c r="O21" s="980">
        <f t="shared" si="1"/>
        <v>0</v>
      </c>
      <c r="P21" s="782"/>
      <c r="Q21" s="978">
        <v>1249294.5</v>
      </c>
      <c r="R21" s="979">
        <v>1362633.38</v>
      </c>
      <c r="S21" s="627">
        <f>R21-Q21</f>
        <v>113338.87999999989</v>
      </c>
      <c r="T21" s="980">
        <f>IF(ISERROR(S21/Q21),"-",S21/Q21)</f>
        <v>9.0722307670449115E-2</v>
      </c>
      <c r="U21" s="166"/>
      <c r="V21" s="414">
        <f t="shared" si="2"/>
        <v>4997178</v>
      </c>
      <c r="W21" s="415">
        <f t="shared" si="3"/>
        <v>5110516.88</v>
      </c>
      <c r="X21" s="627">
        <f t="shared" si="12"/>
        <v>113338.87999999989</v>
      </c>
      <c r="Y21" s="977">
        <f>IF(ISERROR(X21/V21),"-",X21/V21)</f>
        <v>2.2680576917612279E-2</v>
      </c>
      <c r="Z21" s="166"/>
      <c r="AA21" s="414">
        <v>4997178</v>
      </c>
      <c r="AB21" s="627">
        <f t="shared" si="13"/>
        <v>-113338.87999999989</v>
      </c>
      <c r="AC21" s="980">
        <f t="shared" si="5"/>
        <v>-2.2680576917612279E-2</v>
      </c>
      <c r="AD21" s="1162"/>
      <c r="AE21" s="1353"/>
    </row>
    <row r="22" spans="1:31" x14ac:dyDescent="0.3">
      <c r="A22" s="476" t="s">
        <v>70</v>
      </c>
      <c r="B22" s="1098">
        <v>0</v>
      </c>
      <c r="C22" s="564">
        <v>0</v>
      </c>
      <c r="D22" s="415">
        <f t="shared" si="6"/>
        <v>0</v>
      </c>
      <c r="E22" s="196" t="str">
        <f t="shared" si="7"/>
        <v>-</v>
      </c>
      <c r="F22" s="782"/>
      <c r="G22" s="1098">
        <v>0</v>
      </c>
      <c r="H22" s="577">
        <v>0</v>
      </c>
      <c r="I22" s="567">
        <f t="shared" si="8"/>
        <v>0</v>
      </c>
      <c r="J22" s="194" t="str">
        <f t="shared" si="0"/>
        <v>-</v>
      </c>
      <c r="K22" s="782"/>
      <c r="L22" s="1102">
        <v>0</v>
      </c>
      <c r="M22" s="563">
        <v>0</v>
      </c>
      <c r="N22" s="415">
        <f t="shared" si="9"/>
        <v>0</v>
      </c>
      <c r="O22" s="266" t="str">
        <f t="shared" si="1"/>
        <v>-</v>
      </c>
      <c r="P22" s="782"/>
      <c r="Q22" s="563">
        <v>0</v>
      </c>
      <c r="R22" s="563">
        <v>0</v>
      </c>
      <c r="S22" s="415">
        <f t="shared" si="10"/>
        <v>0</v>
      </c>
      <c r="T22" s="266" t="str">
        <f t="shared" si="11"/>
        <v>-</v>
      </c>
      <c r="U22" s="166"/>
      <c r="V22" s="414">
        <f>B22+G22+L22+Q22</f>
        <v>0</v>
      </c>
      <c r="W22" s="415">
        <f t="shared" si="3"/>
        <v>0</v>
      </c>
      <c r="X22" s="415">
        <f t="shared" si="12"/>
        <v>0</v>
      </c>
      <c r="Y22" s="266" t="str">
        <f t="shared" si="4"/>
        <v>-</v>
      </c>
      <c r="Z22" s="166"/>
      <c r="AA22" s="1104">
        <v>0</v>
      </c>
      <c r="AB22" s="415">
        <f t="shared" si="13"/>
        <v>0</v>
      </c>
      <c r="AC22" s="266" t="str">
        <f t="shared" si="5"/>
        <v>-</v>
      </c>
      <c r="AD22" s="1162"/>
      <c r="AE22" s="1178"/>
    </row>
    <row r="23" spans="1:31" x14ac:dyDescent="0.3">
      <c r="A23" s="476" t="s">
        <v>72</v>
      </c>
      <c r="B23" s="1098">
        <v>0</v>
      </c>
      <c r="C23" s="564">
        <v>0</v>
      </c>
      <c r="D23" s="415">
        <f t="shared" si="6"/>
        <v>0</v>
      </c>
      <c r="E23" s="196" t="str">
        <f t="shared" si="7"/>
        <v>-</v>
      </c>
      <c r="F23" s="782"/>
      <c r="G23" s="1098">
        <v>0</v>
      </c>
      <c r="H23" s="577">
        <v>0</v>
      </c>
      <c r="I23" s="567">
        <f t="shared" si="8"/>
        <v>0</v>
      </c>
      <c r="J23" s="194" t="str">
        <f t="shared" si="0"/>
        <v>-</v>
      </c>
      <c r="K23" s="782"/>
      <c r="L23" s="1102">
        <v>0</v>
      </c>
      <c r="M23" s="563">
        <v>0</v>
      </c>
      <c r="N23" s="415">
        <f t="shared" si="9"/>
        <v>0</v>
      </c>
      <c r="O23" s="194" t="str">
        <f t="shared" si="1"/>
        <v>-</v>
      </c>
      <c r="P23" s="782"/>
      <c r="Q23" s="563">
        <v>0</v>
      </c>
      <c r="R23" s="563">
        <v>0</v>
      </c>
      <c r="S23" s="415">
        <f t="shared" si="10"/>
        <v>0</v>
      </c>
      <c r="T23" s="194" t="str">
        <f t="shared" si="11"/>
        <v>-</v>
      </c>
      <c r="U23" s="166"/>
      <c r="V23" s="414">
        <f t="shared" si="2"/>
        <v>0</v>
      </c>
      <c r="W23" s="415">
        <f t="shared" si="3"/>
        <v>0</v>
      </c>
      <c r="X23" s="415">
        <f t="shared" si="12"/>
        <v>0</v>
      </c>
      <c r="Y23" s="194" t="str">
        <f t="shared" si="4"/>
        <v>-</v>
      </c>
      <c r="Z23" s="166"/>
      <c r="AA23" s="1104">
        <v>0</v>
      </c>
      <c r="AB23" s="415">
        <f>AA23-W23</f>
        <v>0</v>
      </c>
      <c r="AC23" s="194" t="str">
        <f t="shared" si="5"/>
        <v>-</v>
      </c>
      <c r="AD23" s="1162"/>
      <c r="AE23" s="1179"/>
    </row>
    <row r="24" spans="1:31" x14ac:dyDescent="0.3">
      <c r="A24" s="476" t="s">
        <v>131</v>
      </c>
      <c r="B24" s="1099">
        <v>0</v>
      </c>
      <c r="C24" s="564">
        <v>0</v>
      </c>
      <c r="D24" s="415">
        <f t="shared" si="6"/>
        <v>0</v>
      </c>
      <c r="E24" s="196" t="str">
        <f t="shared" si="7"/>
        <v>-</v>
      </c>
      <c r="F24" s="782"/>
      <c r="G24" s="1099">
        <v>0</v>
      </c>
      <c r="H24" s="1103">
        <v>0</v>
      </c>
      <c r="I24" s="567">
        <f t="shared" si="8"/>
        <v>0</v>
      </c>
      <c r="J24" s="194" t="str">
        <f t="shared" si="0"/>
        <v>-</v>
      </c>
      <c r="K24" s="782"/>
      <c r="L24" s="1707">
        <v>0</v>
      </c>
      <c r="M24" s="563">
        <v>0</v>
      </c>
      <c r="N24" s="415">
        <f t="shared" si="9"/>
        <v>0</v>
      </c>
      <c r="O24" s="266" t="str">
        <f t="shared" si="1"/>
        <v>-</v>
      </c>
      <c r="P24" s="782"/>
      <c r="Q24" s="563">
        <v>0</v>
      </c>
      <c r="R24" s="563">
        <v>0</v>
      </c>
      <c r="S24" s="415">
        <f t="shared" si="10"/>
        <v>0</v>
      </c>
      <c r="T24" s="266" t="str">
        <f t="shared" si="11"/>
        <v>-</v>
      </c>
      <c r="U24" s="166"/>
      <c r="V24" s="414">
        <f t="shared" si="2"/>
        <v>0</v>
      </c>
      <c r="W24" s="415">
        <f t="shared" si="3"/>
        <v>0</v>
      </c>
      <c r="X24" s="415">
        <f t="shared" si="12"/>
        <v>0</v>
      </c>
      <c r="Y24" s="266" t="str">
        <f t="shared" si="4"/>
        <v>-</v>
      </c>
      <c r="Z24" s="166"/>
      <c r="AA24" s="1105">
        <v>0</v>
      </c>
      <c r="AB24" s="415">
        <f t="shared" si="13"/>
        <v>0</v>
      </c>
      <c r="AC24" s="266" t="str">
        <f t="shared" si="5"/>
        <v>-</v>
      </c>
      <c r="AD24" s="1162"/>
      <c r="AE24" s="1178"/>
    </row>
    <row r="25" spans="1:31" x14ac:dyDescent="0.3">
      <c r="A25" s="477" t="s">
        <v>73</v>
      </c>
      <c r="B25" s="432">
        <f>SUM(B14:B24)</f>
        <v>1532585.5</v>
      </c>
      <c r="C25" s="433">
        <f>SUM(C14:C24)</f>
        <v>1511524.02</v>
      </c>
      <c r="D25" s="433">
        <f>SUM(D14:D24)</f>
        <v>-21061.479999999981</v>
      </c>
      <c r="E25" s="211">
        <f>IF(ISERROR(D25/B25),"-",D25/B25)</f>
        <v>-1.3742450258076943E-2</v>
      </c>
      <c r="F25" s="784"/>
      <c r="G25" s="565">
        <f>SUM(G14:G24)</f>
        <v>1417859.9</v>
      </c>
      <c r="H25" s="433">
        <f>SUM(H14:H24)</f>
        <v>1406283.54</v>
      </c>
      <c r="I25" s="433">
        <f>SUM(I14:I24)</f>
        <v>-11576.359999999986</v>
      </c>
      <c r="J25" s="211">
        <f t="shared" si="0"/>
        <v>-8.164671276760127E-3</v>
      </c>
      <c r="K25" s="784"/>
      <c r="L25" s="565">
        <f>SUM(L14:L24)</f>
        <v>1702057.4</v>
      </c>
      <c r="M25" s="433">
        <f>SUM(M14:M24)</f>
        <v>1493195.34</v>
      </c>
      <c r="N25" s="433">
        <f>SUM(N14:N24)</f>
        <v>-208862.06000000003</v>
      </c>
      <c r="O25" s="211">
        <f t="shared" si="1"/>
        <v>-0.12271152547499281</v>
      </c>
      <c r="P25" s="784"/>
      <c r="Q25" s="565">
        <f>SUM(Q14:Q24)</f>
        <v>1253795.5</v>
      </c>
      <c r="R25" s="433">
        <f>SUM(R14:R24)</f>
        <v>1338128.7</v>
      </c>
      <c r="S25" s="433">
        <f>SUM(S14:S24)</f>
        <v>84333.199999999968</v>
      </c>
      <c r="T25" s="478">
        <f t="shared" si="11"/>
        <v>6.7262324677349675E-2</v>
      </c>
      <c r="U25" s="178"/>
      <c r="V25" s="432">
        <f>SUM(V14:V24)</f>
        <v>5906298.2999999998</v>
      </c>
      <c r="W25" s="433">
        <f>SUM(W14:W24)</f>
        <v>5749131.5999999996</v>
      </c>
      <c r="X25" s="433">
        <f>SUM(X14:X24)</f>
        <v>-157166.70000000007</v>
      </c>
      <c r="Y25" s="478">
        <f t="shared" si="4"/>
        <v>-2.6610017309826709E-2</v>
      </c>
      <c r="Z25" s="178"/>
      <c r="AA25" s="434">
        <f>SUM(AA14:AA24)</f>
        <v>5906296.3100000005</v>
      </c>
      <c r="AB25" s="435">
        <f>SUM(AB14:AB24)</f>
        <v>157164.71000000008</v>
      </c>
      <c r="AC25" s="479">
        <f t="shared" si="5"/>
        <v>2.6609689346926799E-2</v>
      </c>
      <c r="AD25" s="1173"/>
      <c r="AE25" s="1181"/>
    </row>
    <row r="26" spans="1:31" x14ac:dyDescent="0.3">
      <c r="A26" s="480"/>
      <c r="B26" s="422"/>
      <c r="C26" s="423"/>
      <c r="D26" s="423"/>
      <c r="E26" s="481"/>
      <c r="F26" s="782"/>
      <c r="G26" s="788"/>
      <c r="H26" s="425"/>
      <c r="I26" s="425"/>
      <c r="J26" s="190"/>
      <c r="K26" s="782"/>
      <c r="L26" s="566"/>
      <c r="M26" s="423"/>
      <c r="N26" s="423"/>
      <c r="O26" s="481"/>
      <c r="P26" s="782"/>
      <c r="Q26" s="788"/>
      <c r="R26" s="425"/>
      <c r="S26" s="425"/>
      <c r="T26" s="482" t="str">
        <f t="shared" si="11"/>
        <v>-</v>
      </c>
      <c r="U26" s="166"/>
      <c r="V26" s="422"/>
      <c r="W26" s="423"/>
      <c r="X26" s="423"/>
      <c r="Y26" s="481"/>
      <c r="Z26" s="166"/>
      <c r="AA26" s="422"/>
      <c r="AB26" s="423"/>
      <c r="AC26" s="481"/>
      <c r="AD26" s="1162"/>
      <c r="AE26" s="1178"/>
    </row>
    <row r="27" spans="1:31" x14ac:dyDescent="0.3">
      <c r="A27" s="483" t="s">
        <v>74</v>
      </c>
      <c r="B27" s="1344">
        <v>0</v>
      </c>
      <c r="C27" s="564">
        <v>0</v>
      </c>
      <c r="D27" s="415">
        <f>C27-B27</f>
        <v>0</v>
      </c>
      <c r="E27" s="266" t="str">
        <f>IF(ISERROR(D27/B27),"-",D27/B27)</f>
        <v>-</v>
      </c>
      <c r="F27" s="782"/>
      <c r="G27" s="602">
        <v>0</v>
      </c>
      <c r="H27" s="427">
        <v>0</v>
      </c>
      <c r="I27" s="415">
        <f>H27-G27</f>
        <v>0</v>
      </c>
      <c r="J27" s="267" t="str">
        <f>IF(ISERROR(I27/G27),"-",I27/G27)</f>
        <v>-</v>
      </c>
      <c r="K27" s="782"/>
      <c r="L27" s="567">
        <v>0</v>
      </c>
      <c r="M27" s="415">
        <v>0</v>
      </c>
      <c r="N27" s="415">
        <f>M27-L27</f>
        <v>0</v>
      </c>
      <c r="O27" s="266" t="str">
        <f>IF(ISERROR(N27/L27),"-",N27/L27)</f>
        <v>-</v>
      </c>
      <c r="P27" s="782"/>
      <c r="Q27" s="602">
        <v>0</v>
      </c>
      <c r="R27" s="427">
        <v>0</v>
      </c>
      <c r="S27" s="415">
        <f>R27-Q27</f>
        <v>0</v>
      </c>
      <c r="T27" s="267" t="str">
        <f t="shared" si="11"/>
        <v>-</v>
      </c>
      <c r="U27" s="166"/>
      <c r="V27" s="414">
        <f>B27+G27+L27+Q27</f>
        <v>0</v>
      </c>
      <c r="W27" s="415">
        <f>C27+H27+M27+R27</f>
        <v>0</v>
      </c>
      <c r="X27" s="415">
        <f>W27-V27</f>
        <v>0</v>
      </c>
      <c r="Y27" s="484"/>
      <c r="Z27" s="166"/>
      <c r="AA27" s="414">
        <v>0</v>
      </c>
      <c r="AB27" s="415">
        <f>AA27-W27</f>
        <v>0</v>
      </c>
      <c r="AC27" s="484"/>
      <c r="AD27" s="1162"/>
      <c r="AE27" s="1178"/>
    </row>
    <row r="28" spans="1:31" x14ac:dyDescent="0.3">
      <c r="A28" s="485"/>
      <c r="B28" s="428"/>
      <c r="C28" s="429"/>
      <c r="D28" s="429"/>
      <c r="E28" s="486"/>
      <c r="F28" s="781"/>
      <c r="G28" s="789"/>
      <c r="H28" s="431"/>
      <c r="I28" s="431"/>
      <c r="J28" s="206"/>
      <c r="K28" s="781"/>
      <c r="L28" s="568"/>
      <c r="M28" s="429"/>
      <c r="N28" s="429"/>
      <c r="O28" s="486"/>
      <c r="P28" s="781"/>
      <c r="Q28" s="789"/>
      <c r="R28" s="431"/>
      <c r="S28" s="431"/>
      <c r="T28" s="487" t="str">
        <f t="shared" si="11"/>
        <v>-</v>
      </c>
      <c r="U28" s="160"/>
      <c r="V28" s="428"/>
      <c r="W28" s="429"/>
      <c r="X28" s="429"/>
      <c r="Y28" s="486"/>
      <c r="Z28" s="160"/>
      <c r="AA28" s="428"/>
      <c r="AB28" s="429"/>
      <c r="AC28" s="486"/>
      <c r="AD28" s="1168"/>
      <c r="AE28" s="1178"/>
    </row>
    <row r="29" spans="1:31" x14ac:dyDescent="0.3">
      <c r="A29" s="477" t="s">
        <v>75</v>
      </c>
      <c r="B29" s="432">
        <f>B25+B27</f>
        <v>1532585.5</v>
      </c>
      <c r="C29" s="433">
        <f>C25+C27</f>
        <v>1511524.02</v>
      </c>
      <c r="D29" s="433">
        <f>D25+D27</f>
        <v>-21061.479999999981</v>
      </c>
      <c r="E29" s="211">
        <f>IF(ISERROR(D29/B29),"-",D29/B29)</f>
        <v>-1.3742450258076943E-2</v>
      </c>
      <c r="F29" s="784"/>
      <c r="G29" s="565">
        <f>G25+G27</f>
        <v>1417859.9</v>
      </c>
      <c r="H29" s="433">
        <f>H25+H27</f>
        <v>1406283.54</v>
      </c>
      <c r="I29" s="433">
        <f>I25+I27</f>
        <v>-11576.359999999986</v>
      </c>
      <c r="J29" s="211">
        <f>IF(ISERROR(I29/G29),"-",I29/G29)</f>
        <v>-8.164671276760127E-3</v>
      </c>
      <c r="K29" s="784"/>
      <c r="L29" s="565">
        <f>L25+L27</f>
        <v>1702057.4</v>
      </c>
      <c r="M29" s="433">
        <f>M25+M27</f>
        <v>1493195.34</v>
      </c>
      <c r="N29" s="433">
        <f>N25+N27</f>
        <v>-208862.06000000003</v>
      </c>
      <c r="O29" s="211">
        <f>IF(ISERROR(N29/L29),"-",N29/L29)</f>
        <v>-0.12271152547499281</v>
      </c>
      <c r="P29" s="784"/>
      <c r="Q29" s="565">
        <f>Q25+Q27</f>
        <v>1253795.5</v>
      </c>
      <c r="R29" s="433">
        <f>R25+R27</f>
        <v>1338128.7</v>
      </c>
      <c r="S29" s="433">
        <f>S25+S27</f>
        <v>84333.199999999968</v>
      </c>
      <c r="T29" s="211">
        <f t="shared" si="11"/>
        <v>6.7262324677349675E-2</v>
      </c>
      <c r="U29" s="178"/>
      <c r="V29" s="432">
        <f>V25+V27</f>
        <v>5906298.2999999998</v>
      </c>
      <c r="W29" s="433">
        <f>W25+W27</f>
        <v>5749131.5999999996</v>
      </c>
      <c r="X29" s="433">
        <f>X25+X27</f>
        <v>-157166.70000000007</v>
      </c>
      <c r="Y29" s="211">
        <f>IF(ISERROR(X29/V29),"-",X29/V29)</f>
        <v>-2.6610017309826709E-2</v>
      </c>
      <c r="Z29" s="178"/>
      <c r="AA29" s="434">
        <f>AA25+AA27</f>
        <v>5906296.3100000005</v>
      </c>
      <c r="AB29" s="435">
        <f>AA29-W29</f>
        <v>157164.71000000089</v>
      </c>
      <c r="AC29" s="479">
        <f>IF(ISERROR(AB29/AA29),"-",AB29/AA29)</f>
        <v>2.6609689346926937E-2</v>
      </c>
      <c r="AD29" s="1173"/>
      <c r="AE29" s="1181"/>
    </row>
    <row r="30" spans="1:31" x14ac:dyDescent="0.3">
      <c r="A30" s="488"/>
      <c r="B30" s="436"/>
      <c r="C30" s="437"/>
      <c r="D30" s="437"/>
      <c r="E30" s="475"/>
      <c r="F30" s="781"/>
      <c r="G30" s="790"/>
      <c r="H30" s="439"/>
      <c r="I30" s="439"/>
      <c r="J30" s="489"/>
      <c r="K30" s="781"/>
      <c r="L30" s="569"/>
      <c r="M30" s="437"/>
      <c r="N30" s="437"/>
      <c r="O30" s="475"/>
      <c r="P30" s="781"/>
      <c r="Q30" s="790"/>
      <c r="R30" s="439"/>
      <c r="S30" s="439"/>
      <c r="T30" s="489"/>
      <c r="U30" s="160"/>
      <c r="V30" s="422"/>
      <c r="W30" s="423"/>
      <c r="X30" s="437"/>
      <c r="Y30" s="475"/>
      <c r="Z30" s="160"/>
      <c r="AA30" s="422"/>
      <c r="AB30" s="437"/>
      <c r="AC30" s="475"/>
      <c r="AD30" s="1168"/>
      <c r="AE30" s="1178"/>
    </row>
    <row r="31" spans="1:31" x14ac:dyDescent="0.3">
      <c r="A31" s="483" t="s">
        <v>76</v>
      </c>
      <c r="B31" s="414"/>
      <c r="C31" s="415"/>
      <c r="D31" s="415"/>
      <c r="E31" s="484"/>
      <c r="F31" s="782"/>
      <c r="G31" s="602"/>
      <c r="H31" s="427"/>
      <c r="I31" s="427"/>
      <c r="J31" s="490"/>
      <c r="K31" s="782"/>
      <c r="L31" s="567"/>
      <c r="M31" s="415"/>
      <c r="N31" s="415"/>
      <c r="O31" s="484"/>
      <c r="P31" s="782"/>
      <c r="Q31" s="602"/>
      <c r="R31" s="427"/>
      <c r="S31" s="427"/>
      <c r="T31" s="490"/>
      <c r="U31" s="166"/>
      <c r="V31" s="414"/>
      <c r="W31" s="415"/>
      <c r="X31" s="415"/>
      <c r="Y31" s="484"/>
      <c r="Z31" s="166"/>
      <c r="AA31" s="414"/>
      <c r="AB31" s="415"/>
      <c r="AC31" s="484"/>
      <c r="AD31" s="1162"/>
      <c r="AE31" s="1178"/>
    </row>
    <row r="32" spans="1:31" x14ac:dyDescent="0.3">
      <c r="A32" s="483" t="s">
        <v>77</v>
      </c>
      <c r="B32" s="414"/>
      <c r="C32" s="415"/>
      <c r="D32" s="415"/>
      <c r="E32" s="484"/>
      <c r="F32" s="782"/>
      <c r="G32" s="602"/>
      <c r="H32" s="427"/>
      <c r="I32" s="427"/>
      <c r="J32" s="490"/>
      <c r="K32" s="782"/>
      <c r="L32" s="567"/>
      <c r="M32" s="415"/>
      <c r="N32" s="415"/>
      <c r="O32" s="484"/>
      <c r="P32" s="782"/>
      <c r="Q32" s="602"/>
      <c r="R32" s="427"/>
      <c r="S32" s="427"/>
      <c r="T32" s="490"/>
      <c r="U32" s="166"/>
      <c r="V32" s="414"/>
      <c r="W32" s="415"/>
      <c r="X32" s="415"/>
      <c r="Y32" s="484"/>
      <c r="Z32" s="166"/>
      <c r="AA32" s="414"/>
      <c r="AB32" s="415"/>
      <c r="AC32" s="484"/>
      <c r="AD32" s="1162"/>
      <c r="AE32" s="1178"/>
    </row>
    <row r="33" spans="1:31" x14ac:dyDescent="0.3">
      <c r="A33" s="476" t="s">
        <v>78</v>
      </c>
      <c r="B33" s="1345">
        <v>537295.98</v>
      </c>
      <c r="C33" s="570">
        <v>378917.07</v>
      </c>
      <c r="D33" s="415">
        <f t="shared" ref="D33:D40" si="15">C33-B33</f>
        <v>-158378.90999999997</v>
      </c>
      <c r="E33" s="194">
        <f t="shared" ref="E33:E41" si="16">IF(ISERROR(D33/B33),"-",D33/B33)</f>
        <v>-0.29477032379806745</v>
      </c>
      <c r="F33" s="783"/>
      <c r="G33" s="567">
        <v>537295.98</v>
      </c>
      <c r="H33" s="567">
        <v>382072.06</v>
      </c>
      <c r="I33" s="415">
        <f t="shared" ref="I33:I40" si="17">H33-G33</f>
        <v>-155223.91999999998</v>
      </c>
      <c r="J33" s="195">
        <f t="shared" ref="J33:J41" si="18">IF(ISERROR(I33/G33),"-",I33/G33)</f>
        <v>-0.28889834612200149</v>
      </c>
      <c r="K33" s="783"/>
      <c r="L33" s="567">
        <v>537296</v>
      </c>
      <c r="M33" s="567">
        <v>381911</v>
      </c>
      <c r="N33" s="415">
        <f t="shared" ref="N33:N40" si="19">M33-L33</f>
        <v>-155385</v>
      </c>
      <c r="O33" s="194">
        <f t="shared" ref="O33:O41" si="20">IF(ISERROR(N33/L33),"-",N33/L33)</f>
        <v>-0.28919813287275542</v>
      </c>
      <c r="P33" s="783"/>
      <c r="Q33" s="567">
        <v>537295.98</v>
      </c>
      <c r="R33" s="567">
        <v>545087.95000000019</v>
      </c>
      <c r="S33" s="415">
        <f t="shared" ref="S33:S40" si="21">R33-Q33</f>
        <v>7791.9700000002049</v>
      </c>
      <c r="T33" s="195">
        <f t="shared" ref="T33:T41" si="22">IF(ISERROR(S33/Q33),"-",S33/Q33)</f>
        <v>1.4502192999843783E-2</v>
      </c>
      <c r="U33" s="171"/>
      <c r="V33" s="414">
        <f t="shared" ref="V33:W40" si="23">B33+G33+L33+Q33</f>
        <v>2149183.94</v>
      </c>
      <c r="W33" s="415">
        <f t="shared" si="23"/>
        <v>1687988.08</v>
      </c>
      <c r="X33" s="415">
        <f t="shared" ref="X33:X40" si="24">W33-V33</f>
        <v>-461195.85999999987</v>
      </c>
      <c r="Y33" s="194">
        <f t="shared" ref="Y33:Y41" si="25">IF(ISERROR(X33/V33),"-",X33/V33)</f>
        <v>-0.21459115314252716</v>
      </c>
      <c r="Z33" s="171"/>
      <c r="AA33" s="414">
        <v>2149220</v>
      </c>
      <c r="AB33" s="415">
        <f t="shared" ref="AB33:AB40" si="26">AA33-W33</f>
        <v>461231.91999999993</v>
      </c>
      <c r="AC33" s="194">
        <f t="shared" ref="AC33:AC41" si="27">IF(ISERROR(AB33/AA33),"-",AB33/AA33)</f>
        <v>0.21460433087352618</v>
      </c>
      <c r="AD33" s="1163"/>
      <c r="AE33" s="1354"/>
    </row>
    <row r="34" spans="1:31" x14ac:dyDescent="0.3">
      <c r="A34" s="476" t="s">
        <v>79</v>
      </c>
      <c r="B34" s="1345">
        <v>160050</v>
      </c>
      <c r="C34" s="570">
        <v>150670.48000000001</v>
      </c>
      <c r="D34" s="415">
        <f t="shared" si="15"/>
        <v>-9379.5199999999895</v>
      </c>
      <c r="E34" s="194">
        <f t="shared" si="16"/>
        <v>-5.860368634801618E-2</v>
      </c>
      <c r="F34" s="783"/>
      <c r="G34" s="567">
        <v>160050</v>
      </c>
      <c r="H34" s="567">
        <v>109160.97999999998</v>
      </c>
      <c r="I34" s="415">
        <f t="shared" si="17"/>
        <v>-50889.020000000019</v>
      </c>
      <c r="J34" s="195">
        <f t="shared" si="18"/>
        <v>-0.31795701343330218</v>
      </c>
      <c r="K34" s="783"/>
      <c r="L34" s="567">
        <v>160050</v>
      </c>
      <c r="M34" s="567">
        <v>77939.16</v>
      </c>
      <c r="N34" s="415">
        <f t="shared" si="19"/>
        <v>-82110.84</v>
      </c>
      <c r="O34" s="194">
        <f t="shared" si="20"/>
        <v>-0.51303242736644794</v>
      </c>
      <c r="P34" s="783"/>
      <c r="Q34" s="567">
        <v>160050</v>
      </c>
      <c r="R34" s="567">
        <v>175851.66999999998</v>
      </c>
      <c r="S34" s="415">
        <f t="shared" si="21"/>
        <v>15801.669999999984</v>
      </c>
      <c r="T34" s="195">
        <f t="shared" si="22"/>
        <v>9.8729584504842136E-2</v>
      </c>
      <c r="U34" s="171"/>
      <c r="V34" s="414">
        <f t="shared" si="23"/>
        <v>640200</v>
      </c>
      <c r="W34" s="415">
        <f>C34+H34+M34+R34</f>
        <v>513622.29</v>
      </c>
      <c r="X34" s="415">
        <f t="shared" si="24"/>
        <v>-126577.71000000002</v>
      </c>
      <c r="Y34" s="194">
        <f t="shared" si="25"/>
        <v>-0.19771588566073106</v>
      </c>
      <c r="Z34" s="171"/>
      <c r="AA34" s="414">
        <v>640200</v>
      </c>
      <c r="AB34" s="415">
        <f t="shared" si="26"/>
        <v>126577.71000000002</v>
      </c>
      <c r="AC34" s="194">
        <f t="shared" si="27"/>
        <v>0.19771588566073106</v>
      </c>
      <c r="AD34" s="1163"/>
      <c r="AE34" s="1355"/>
    </row>
    <row r="35" spans="1:31" x14ac:dyDescent="0.3">
      <c r="A35" s="476" t="s">
        <v>81</v>
      </c>
      <c r="B35" s="1345">
        <v>26178.75</v>
      </c>
      <c r="C35" s="570">
        <v>15931.02</v>
      </c>
      <c r="D35" s="415">
        <f t="shared" si="15"/>
        <v>-10247.73</v>
      </c>
      <c r="E35" s="194">
        <f t="shared" si="16"/>
        <v>-0.39145222747457381</v>
      </c>
      <c r="F35" s="783"/>
      <c r="G35" s="567">
        <v>26178.75</v>
      </c>
      <c r="H35" s="567">
        <v>17086.8</v>
      </c>
      <c r="I35" s="415">
        <f t="shared" si="17"/>
        <v>-9091.9500000000007</v>
      </c>
      <c r="J35" s="195">
        <f t="shared" si="18"/>
        <v>-0.34730267869932679</v>
      </c>
      <c r="K35" s="783"/>
      <c r="L35" s="567">
        <v>26178</v>
      </c>
      <c r="M35" s="567">
        <v>17969</v>
      </c>
      <c r="N35" s="415">
        <f t="shared" si="19"/>
        <v>-8209</v>
      </c>
      <c r="O35" s="194">
        <f t="shared" si="20"/>
        <v>-0.31358392543357017</v>
      </c>
      <c r="P35" s="783"/>
      <c r="Q35" s="567">
        <v>54978.789999999994</v>
      </c>
      <c r="R35" s="567">
        <v>18498.36</v>
      </c>
      <c r="S35" s="415">
        <f t="shared" si="21"/>
        <v>-36480.429999999993</v>
      </c>
      <c r="T35" s="195">
        <f t="shared" si="22"/>
        <v>-0.66353642923025402</v>
      </c>
      <c r="U35" s="171"/>
      <c r="V35" s="414">
        <f t="shared" si="23"/>
        <v>133514.28999999998</v>
      </c>
      <c r="W35" s="415">
        <f t="shared" ref="W35:W40" si="28">C35+H35+M35+R35</f>
        <v>69485.179999999993</v>
      </c>
      <c r="X35" s="415">
        <f t="shared" si="24"/>
        <v>-64029.109999999986</v>
      </c>
      <c r="Y35" s="194">
        <f t="shared" si="25"/>
        <v>-0.47956746802158778</v>
      </c>
      <c r="Z35" s="171"/>
      <c r="AA35" s="414">
        <v>133516</v>
      </c>
      <c r="AB35" s="415">
        <f t="shared" si="26"/>
        <v>64030.820000000007</v>
      </c>
      <c r="AC35" s="194">
        <f t="shared" si="27"/>
        <v>0.47957413343719107</v>
      </c>
      <c r="AD35" s="1163"/>
      <c r="AE35" s="1356"/>
    </row>
    <row r="36" spans="1:31" x14ac:dyDescent="0.3">
      <c r="A36" s="476" t="s">
        <v>106</v>
      </c>
      <c r="B36" s="1345">
        <v>34639.880000000005</v>
      </c>
      <c r="C36" s="570">
        <v>23317.29</v>
      </c>
      <c r="D36" s="415">
        <f t="shared" si="15"/>
        <v>-11322.590000000004</v>
      </c>
      <c r="E36" s="194">
        <f t="shared" si="16"/>
        <v>-0.32686573971965266</v>
      </c>
      <c r="F36" s="785"/>
      <c r="G36" s="567">
        <v>34639.959999999992</v>
      </c>
      <c r="H36" s="567">
        <v>20565.589999999997</v>
      </c>
      <c r="I36" s="415">
        <f t="shared" si="17"/>
        <v>-14074.369999999995</v>
      </c>
      <c r="J36" s="195">
        <f t="shared" si="18"/>
        <v>-0.40630445300745149</v>
      </c>
      <c r="K36" s="785"/>
      <c r="L36" s="567">
        <v>34640</v>
      </c>
      <c r="M36" s="567">
        <v>21815.43</v>
      </c>
      <c r="N36" s="415">
        <f t="shared" si="19"/>
        <v>-12824.57</v>
      </c>
      <c r="O36" s="196">
        <f t="shared" si="20"/>
        <v>-0.37022430715935334</v>
      </c>
      <c r="P36" s="785"/>
      <c r="Q36" s="567">
        <v>22903.009999999995</v>
      </c>
      <c r="R36" s="567">
        <v>27105.099999999995</v>
      </c>
      <c r="S36" s="415">
        <f t="shared" si="21"/>
        <v>4202.09</v>
      </c>
      <c r="T36" s="195">
        <f t="shared" si="22"/>
        <v>0.18347326399455796</v>
      </c>
      <c r="U36" s="230"/>
      <c r="V36" s="414">
        <f t="shared" si="23"/>
        <v>126822.84999999999</v>
      </c>
      <c r="W36" s="415">
        <f t="shared" si="28"/>
        <v>92803.409999999989</v>
      </c>
      <c r="X36" s="415">
        <f t="shared" si="24"/>
        <v>-34019.440000000002</v>
      </c>
      <c r="Y36" s="266">
        <f t="shared" si="25"/>
        <v>-0.26824377468255922</v>
      </c>
      <c r="Z36" s="230"/>
      <c r="AA36" s="414">
        <v>126823</v>
      </c>
      <c r="AB36" s="415">
        <f t="shared" si="26"/>
        <v>34019.590000000011</v>
      </c>
      <c r="AC36" s="196">
        <f t="shared" si="27"/>
        <v>0.26824464016779298</v>
      </c>
      <c r="AD36" s="1164"/>
      <c r="AE36" s="1357"/>
    </row>
    <row r="37" spans="1:31" x14ac:dyDescent="0.3">
      <c r="A37" s="476" t="s">
        <v>80</v>
      </c>
      <c r="B37" s="1345">
        <v>20550</v>
      </c>
      <c r="C37" s="570">
        <v>14792.7</v>
      </c>
      <c r="D37" s="415">
        <f t="shared" si="15"/>
        <v>-5757.2999999999993</v>
      </c>
      <c r="E37" s="194">
        <f t="shared" si="16"/>
        <v>-0.28016058394160581</v>
      </c>
      <c r="F37" s="785"/>
      <c r="G37" s="417">
        <v>20550</v>
      </c>
      <c r="H37" s="567">
        <v>19132.259999999998</v>
      </c>
      <c r="I37" s="415">
        <f t="shared" si="17"/>
        <v>-1417.7400000000016</v>
      </c>
      <c r="J37" s="195">
        <f t="shared" si="18"/>
        <v>-6.8989781021897886E-2</v>
      </c>
      <c r="K37" s="785"/>
      <c r="L37" s="567">
        <v>20550</v>
      </c>
      <c r="M37" s="567">
        <v>19500</v>
      </c>
      <c r="N37" s="415">
        <f t="shared" si="19"/>
        <v>-1050</v>
      </c>
      <c r="O37" s="266">
        <f t="shared" si="20"/>
        <v>-5.1094890510948905E-2</v>
      </c>
      <c r="P37" s="785"/>
      <c r="Q37" s="567">
        <v>20550</v>
      </c>
      <c r="R37" s="567">
        <v>38484.839999999997</v>
      </c>
      <c r="S37" s="415">
        <f t="shared" si="21"/>
        <v>17934.839999999997</v>
      </c>
      <c r="T37" s="195">
        <f t="shared" si="22"/>
        <v>0.87274160583941585</v>
      </c>
      <c r="U37" s="230"/>
      <c r="V37" s="414">
        <f t="shared" si="23"/>
        <v>82200</v>
      </c>
      <c r="W37" s="415">
        <f t="shared" si="28"/>
        <v>91909.799999999988</v>
      </c>
      <c r="X37" s="415">
        <f t="shared" si="24"/>
        <v>9709.7999999999884</v>
      </c>
      <c r="Y37" s="266">
        <f t="shared" si="25"/>
        <v>0.11812408759124074</v>
      </c>
      <c r="Z37" s="230"/>
      <c r="AA37" s="414">
        <v>76800</v>
      </c>
      <c r="AB37" s="415">
        <f t="shared" si="26"/>
        <v>-15109.799999999988</v>
      </c>
      <c r="AC37" s="194">
        <f t="shared" si="27"/>
        <v>-0.19674218749999986</v>
      </c>
      <c r="AD37" s="1164"/>
      <c r="AE37" s="1357"/>
    </row>
    <row r="38" spans="1:31" x14ac:dyDescent="0.3">
      <c r="A38" s="476" t="s">
        <v>130</v>
      </c>
      <c r="B38" s="1345">
        <v>28706.7</v>
      </c>
      <c r="C38" s="570">
        <v>16269.9</v>
      </c>
      <c r="D38" s="415">
        <f t="shared" si="15"/>
        <v>-12436.800000000001</v>
      </c>
      <c r="E38" s="194">
        <f t="shared" si="16"/>
        <v>-0.433236840180167</v>
      </c>
      <c r="F38" s="783"/>
      <c r="G38" s="417">
        <v>28706.7</v>
      </c>
      <c r="H38" s="567">
        <v>15793.4</v>
      </c>
      <c r="I38" s="415">
        <f t="shared" si="17"/>
        <v>-12913.300000000001</v>
      </c>
      <c r="J38" s="195">
        <f t="shared" si="18"/>
        <v>-0.44983575262917719</v>
      </c>
      <c r="K38" s="783"/>
      <c r="L38" s="567">
        <v>28707</v>
      </c>
      <c r="M38" s="567">
        <v>16428</v>
      </c>
      <c r="N38" s="415">
        <f t="shared" si="19"/>
        <v>-12279</v>
      </c>
      <c r="O38" s="194">
        <f t="shared" si="20"/>
        <v>-0.42773539554812418</v>
      </c>
      <c r="P38" s="783"/>
      <c r="Q38" s="567">
        <v>28706.829999999987</v>
      </c>
      <c r="R38" s="567">
        <v>18204</v>
      </c>
      <c r="S38" s="415">
        <f t="shared" si="21"/>
        <v>-10502.829999999987</v>
      </c>
      <c r="T38" s="195">
        <f t="shared" si="22"/>
        <v>-0.36586519654033522</v>
      </c>
      <c r="U38" s="171"/>
      <c r="V38" s="414">
        <f t="shared" si="23"/>
        <v>114827.22999999998</v>
      </c>
      <c r="W38" s="415">
        <f t="shared" si="28"/>
        <v>66695.3</v>
      </c>
      <c r="X38" s="415">
        <f t="shared" si="24"/>
        <v>-48131.929999999978</v>
      </c>
      <c r="Y38" s="194">
        <f t="shared" si="25"/>
        <v>-0.41916825826069293</v>
      </c>
      <c r="Z38" s="171"/>
      <c r="AA38" s="414">
        <v>114826.31999999998</v>
      </c>
      <c r="AB38" s="415">
        <f t="shared" si="26"/>
        <v>48131.019999999975</v>
      </c>
      <c r="AC38" s="194">
        <f t="shared" si="27"/>
        <v>0.41916365516198711</v>
      </c>
      <c r="AD38" s="1163"/>
      <c r="AE38" s="1354"/>
    </row>
    <row r="39" spans="1:31" x14ac:dyDescent="0.3">
      <c r="A39" s="476" t="s">
        <v>129</v>
      </c>
      <c r="B39" s="1345">
        <v>0</v>
      </c>
      <c r="C39" s="570">
        <v>1</v>
      </c>
      <c r="D39" s="415">
        <f t="shared" si="15"/>
        <v>1</v>
      </c>
      <c r="E39" s="194" t="str">
        <f t="shared" si="16"/>
        <v>-</v>
      </c>
      <c r="F39" s="783"/>
      <c r="G39" s="417">
        <v>1</v>
      </c>
      <c r="H39" s="567">
        <v>1</v>
      </c>
      <c r="I39" s="415">
        <f t="shared" si="17"/>
        <v>0</v>
      </c>
      <c r="J39" s="195">
        <f t="shared" si="18"/>
        <v>0</v>
      </c>
      <c r="K39" s="783"/>
      <c r="L39" s="567">
        <v>0</v>
      </c>
      <c r="M39" s="567">
        <v>1</v>
      </c>
      <c r="N39" s="415">
        <f t="shared" si="19"/>
        <v>1</v>
      </c>
      <c r="O39" s="194" t="str">
        <f t="shared" si="20"/>
        <v>-</v>
      </c>
      <c r="P39" s="783"/>
      <c r="Q39" s="567">
        <v>0</v>
      </c>
      <c r="R39" s="567">
        <v>0</v>
      </c>
      <c r="S39" s="415">
        <f t="shared" si="21"/>
        <v>0</v>
      </c>
      <c r="T39" s="195" t="str">
        <f t="shared" si="22"/>
        <v>-</v>
      </c>
      <c r="U39" s="171"/>
      <c r="V39" s="414">
        <f t="shared" si="23"/>
        <v>1</v>
      </c>
      <c r="W39" s="415">
        <f t="shared" si="28"/>
        <v>3</v>
      </c>
      <c r="X39" s="415">
        <f t="shared" si="24"/>
        <v>2</v>
      </c>
      <c r="Y39" s="194">
        <f t="shared" si="25"/>
        <v>2</v>
      </c>
      <c r="Z39" s="171"/>
      <c r="AA39" s="1104">
        <v>0</v>
      </c>
      <c r="AB39" s="415">
        <f t="shared" si="26"/>
        <v>-3</v>
      </c>
      <c r="AC39" s="194" t="str">
        <f t="shared" si="27"/>
        <v>-</v>
      </c>
      <c r="AD39" s="1163"/>
      <c r="AE39" s="1354"/>
    </row>
    <row r="40" spans="1:31" x14ac:dyDescent="0.3">
      <c r="A40" s="491" t="s">
        <v>40</v>
      </c>
      <c r="B40" s="1099">
        <v>0</v>
      </c>
      <c r="C40" s="564">
        <v>0</v>
      </c>
      <c r="D40" s="415">
        <f t="shared" si="15"/>
        <v>0</v>
      </c>
      <c r="E40" s="194" t="str">
        <f t="shared" si="16"/>
        <v>-</v>
      </c>
      <c r="F40" s="782"/>
      <c r="G40" s="1099">
        <v>0</v>
      </c>
      <c r="H40" s="564">
        <v>0</v>
      </c>
      <c r="I40" s="415">
        <f t="shared" si="17"/>
        <v>0</v>
      </c>
      <c r="J40" s="195" t="str">
        <f t="shared" si="18"/>
        <v>-</v>
      </c>
      <c r="K40" s="782"/>
      <c r="L40" s="567">
        <v>0</v>
      </c>
      <c r="M40" s="567">
        <v>0</v>
      </c>
      <c r="N40" s="415">
        <f t="shared" si="19"/>
        <v>0</v>
      </c>
      <c r="O40" s="233" t="str">
        <f t="shared" si="20"/>
        <v>-</v>
      </c>
      <c r="P40" s="782"/>
      <c r="Q40" s="567">
        <v>0</v>
      </c>
      <c r="R40" s="567">
        <v>0</v>
      </c>
      <c r="S40" s="415">
        <f t="shared" si="21"/>
        <v>0</v>
      </c>
      <c r="T40" s="195" t="str">
        <f t="shared" si="22"/>
        <v>-</v>
      </c>
      <c r="U40" s="166"/>
      <c r="V40" s="414">
        <f t="shared" si="23"/>
        <v>0</v>
      </c>
      <c r="W40" s="415">
        <f t="shared" si="28"/>
        <v>0</v>
      </c>
      <c r="X40" s="415">
        <f t="shared" si="24"/>
        <v>0</v>
      </c>
      <c r="Y40" s="233" t="str">
        <f t="shared" si="25"/>
        <v>-</v>
      </c>
      <c r="Z40" s="166"/>
      <c r="AA40" s="1105">
        <v>0</v>
      </c>
      <c r="AB40" s="441">
        <f t="shared" si="26"/>
        <v>0</v>
      </c>
      <c r="AC40" s="233" t="str">
        <f t="shared" si="27"/>
        <v>-</v>
      </c>
      <c r="AD40" s="1162"/>
      <c r="AE40" s="1354"/>
    </row>
    <row r="41" spans="1:31" x14ac:dyDescent="0.3">
      <c r="A41" s="477" t="s">
        <v>83</v>
      </c>
      <c r="B41" s="432">
        <f>SUM(B33:B40)</f>
        <v>807421.30999999994</v>
      </c>
      <c r="C41" s="433">
        <f>SUM(C33:C40)</f>
        <v>599899.46000000008</v>
      </c>
      <c r="D41" s="433">
        <f>SUM(D33:D40)</f>
        <v>-207521.84999999995</v>
      </c>
      <c r="E41" s="211">
        <f t="shared" si="16"/>
        <v>-0.25701804922636978</v>
      </c>
      <c r="F41" s="783"/>
      <c r="G41" s="565">
        <f>SUM(G33:G40)</f>
        <v>807422.3899999999</v>
      </c>
      <c r="H41" s="433">
        <f>SUM(H33:H40)</f>
        <v>563812.09</v>
      </c>
      <c r="I41" s="433">
        <f>SUM(I33:I40)</f>
        <v>-243610.3</v>
      </c>
      <c r="J41" s="211">
        <f t="shared" si="18"/>
        <v>-0.30171358017456018</v>
      </c>
      <c r="K41" s="783"/>
      <c r="L41" s="565">
        <f>SUM(L33:L40)</f>
        <v>807421</v>
      </c>
      <c r="M41" s="433">
        <f>SUM(M33:M40)</f>
        <v>535563.59000000008</v>
      </c>
      <c r="N41" s="433">
        <f>SUM(N33:N40)</f>
        <v>-271857.41000000003</v>
      </c>
      <c r="O41" s="211">
        <f t="shared" si="20"/>
        <v>-0.33669846337907983</v>
      </c>
      <c r="P41" s="783"/>
      <c r="Q41" s="565">
        <f>SUM(Q33:Q40)</f>
        <v>824484.61</v>
      </c>
      <c r="R41" s="433">
        <f>SUM(R33:R40)</f>
        <v>823231.92</v>
      </c>
      <c r="S41" s="433">
        <f>SUM(S33:S40)</f>
        <v>-1252.689999999795</v>
      </c>
      <c r="T41" s="211">
        <f t="shared" si="22"/>
        <v>-1.5193612892298802E-3</v>
      </c>
      <c r="U41" s="171"/>
      <c r="V41" s="432">
        <f>SUM(V33:V40)</f>
        <v>3246749.31</v>
      </c>
      <c r="W41" s="433">
        <f>SUM(W33:W40)</f>
        <v>2522507.06</v>
      </c>
      <c r="X41" s="433">
        <f>SUM(X33:X40)</f>
        <v>-724242.24999999977</v>
      </c>
      <c r="Y41" s="211">
        <f t="shared" si="25"/>
        <v>-0.22306688347305748</v>
      </c>
      <c r="Z41" s="171"/>
      <c r="AA41" s="434">
        <f>SUM(AA33:AA40)</f>
        <v>3241385.32</v>
      </c>
      <c r="AB41" s="435">
        <f>SUM(AB33:AB40)</f>
        <v>718878.26</v>
      </c>
      <c r="AC41" s="492">
        <f t="shared" si="27"/>
        <v>0.22178117965931926</v>
      </c>
      <c r="AD41" s="1163"/>
      <c r="AE41" s="1358"/>
    </row>
    <row r="42" spans="1:31" x14ac:dyDescent="0.3">
      <c r="A42" s="488"/>
      <c r="B42" s="422"/>
      <c r="C42" s="423"/>
      <c r="D42" s="423"/>
      <c r="E42" s="481"/>
      <c r="F42" s="782"/>
      <c r="G42" s="788"/>
      <c r="H42" s="425"/>
      <c r="I42" s="425"/>
      <c r="J42" s="493"/>
      <c r="K42" s="782"/>
      <c r="L42" s="566"/>
      <c r="M42" s="423"/>
      <c r="N42" s="423"/>
      <c r="O42" s="481"/>
      <c r="P42" s="782"/>
      <c r="Q42" s="788"/>
      <c r="R42" s="425"/>
      <c r="S42" s="425"/>
      <c r="T42" s="493"/>
      <c r="U42" s="166"/>
      <c r="V42" s="422"/>
      <c r="W42" s="423"/>
      <c r="X42" s="423"/>
      <c r="Y42" s="187"/>
      <c r="Z42" s="166"/>
      <c r="AA42" s="422"/>
      <c r="AB42" s="423"/>
      <c r="AC42" s="187"/>
      <c r="AD42" s="1162"/>
      <c r="AE42" s="1357"/>
    </row>
    <row r="43" spans="1:31" x14ac:dyDescent="0.3">
      <c r="A43" s="483" t="s">
        <v>84</v>
      </c>
      <c r="B43" s="413"/>
      <c r="C43" s="571"/>
      <c r="D43" s="445"/>
      <c r="E43" s="494"/>
      <c r="F43" s="781"/>
      <c r="G43" s="791"/>
      <c r="H43" s="447"/>
      <c r="I43" s="447"/>
      <c r="J43" s="495"/>
      <c r="K43" s="781"/>
      <c r="L43" s="571"/>
      <c r="M43" s="445"/>
      <c r="N43" s="445"/>
      <c r="O43" s="494"/>
      <c r="P43" s="781"/>
      <c r="Q43" s="791"/>
      <c r="R43" s="447"/>
      <c r="S43" s="447"/>
      <c r="T43" s="495"/>
      <c r="U43" s="160"/>
      <c r="V43" s="444"/>
      <c r="W43" s="445"/>
      <c r="X43" s="415"/>
      <c r="Y43" s="225"/>
      <c r="Z43" s="160"/>
      <c r="AA43" s="444"/>
      <c r="AB43" s="415"/>
      <c r="AC43" s="225"/>
      <c r="AD43" s="1168"/>
      <c r="AE43" s="1357"/>
    </row>
    <row r="44" spans="1:31" x14ac:dyDescent="0.3">
      <c r="A44" s="476" t="s">
        <v>85</v>
      </c>
      <c r="B44" s="417">
        <v>38124.99</v>
      </c>
      <c r="C44" s="567">
        <v>8743.24</v>
      </c>
      <c r="D44" s="415">
        <f>C44-B44</f>
        <v>-29381.75</v>
      </c>
      <c r="E44" s="194">
        <f t="shared" ref="E44:E76" si="29">IF(ISERROR(D44/B44),"-",D44/B44)</f>
        <v>-0.77066905460171931</v>
      </c>
      <c r="F44" s="783"/>
      <c r="G44" s="417">
        <v>34374.99</v>
      </c>
      <c r="H44" s="567">
        <v>6479.09</v>
      </c>
      <c r="I44" s="415">
        <f t="shared" ref="I44:I75" si="30">H44-G44</f>
        <v>-27895.899999999998</v>
      </c>
      <c r="J44" s="195">
        <f t="shared" ref="J44:J75" si="31">IF(ISERROR(I44/G44),"-",I44/G44)</f>
        <v>-0.81151732698685874</v>
      </c>
      <c r="K44" s="783"/>
      <c r="L44" s="567">
        <v>38125</v>
      </c>
      <c r="M44" s="567">
        <v>5682</v>
      </c>
      <c r="N44" s="415">
        <f t="shared" ref="N44:N75" si="32">M44-L44</f>
        <v>-32443</v>
      </c>
      <c r="O44" s="194">
        <f t="shared" ref="O44:O72" si="33">IF(ISERROR(N44/L44),"-",N44/L44)</f>
        <v>-0.85096393442622953</v>
      </c>
      <c r="P44" s="783"/>
      <c r="Q44" s="567">
        <v>34375.660000000003</v>
      </c>
      <c r="R44" s="567">
        <v>20070.830000000002</v>
      </c>
      <c r="S44" s="415">
        <f t="shared" ref="S44:S75" si="34">R44-Q44</f>
        <v>-14304.830000000002</v>
      </c>
      <c r="T44" s="195">
        <f t="shared" ref="T44:T72" si="35">IF(ISERROR(S44/Q44),"-",S44/Q44)</f>
        <v>-0.41613251934653767</v>
      </c>
      <c r="U44" s="171"/>
      <c r="V44" s="414">
        <f>B44+G44+L44+Q44</f>
        <v>145000.64000000001</v>
      </c>
      <c r="W44" s="415">
        <f>C44+H44+M44+R44</f>
        <v>40975.160000000003</v>
      </c>
      <c r="X44" s="415">
        <f>W44-V44</f>
        <v>-104025.48000000001</v>
      </c>
      <c r="Y44" s="194">
        <f t="shared" ref="Y44:Y76" si="36">IF(ISERROR(X44/V44),"-",X44/V44)</f>
        <v>-0.71741393693158872</v>
      </c>
      <c r="Z44" s="171"/>
      <c r="AA44" s="414">
        <v>145000</v>
      </c>
      <c r="AB44" s="415">
        <f>AA44-W44</f>
        <v>104024.84</v>
      </c>
      <c r="AC44" s="194">
        <f t="shared" ref="AC44:AC76" si="37">IF(ISERROR(AB44/AA44),"-",AB44/AA44)</f>
        <v>0.71741268965517235</v>
      </c>
      <c r="AD44" s="1163"/>
      <c r="AE44" s="1359"/>
    </row>
    <row r="45" spans="1:31" x14ac:dyDescent="0.3">
      <c r="A45" s="476" t="s">
        <v>128</v>
      </c>
      <c r="B45" s="417">
        <v>0</v>
      </c>
      <c r="C45" s="567">
        <v>0</v>
      </c>
      <c r="D45" s="415">
        <f t="shared" ref="D45:D75" si="38">C45-B45</f>
        <v>0</v>
      </c>
      <c r="E45" s="194" t="str">
        <f t="shared" si="29"/>
        <v>-</v>
      </c>
      <c r="F45" s="785"/>
      <c r="G45" s="417">
        <v>51000</v>
      </c>
      <c r="H45" s="567">
        <v>0</v>
      </c>
      <c r="I45" s="415">
        <f t="shared" si="30"/>
        <v>-51000</v>
      </c>
      <c r="J45" s="195">
        <f t="shared" si="31"/>
        <v>-1</v>
      </c>
      <c r="K45" s="785"/>
      <c r="L45" s="567">
        <v>17000</v>
      </c>
      <c r="M45" s="567">
        <v>0</v>
      </c>
      <c r="N45" s="415">
        <f t="shared" si="32"/>
        <v>-17000</v>
      </c>
      <c r="O45" s="194">
        <f t="shared" si="33"/>
        <v>-1</v>
      </c>
      <c r="P45" s="785"/>
      <c r="Q45" s="567">
        <v>0</v>
      </c>
      <c r="R45" s="567">
        <v>68000</v>
      </c>
      <c r="S45" s="415">
        <f t="shared" si="34"/>
        <v>68000</v>
      </c>
      <c r="T45" s="195" t="str">
        <f t="shared" si="35"/>
        <v>-</v>
      </c>
      <c r="U45" s="230"/>
      <c r="V45" s="414">
        <f t="shared" ref="V45:V75" si="39">B45+G45+L45+Q45</f>
        <v>68000</v>
      </c>
      <c r="W45" s="415">
        <f t="shared" ref="W45:W75" si="40">C45+H45+M45+R45</f>
        <v>68000</v>
      </c>
      <c r="X45" s="415">
        <f t="shared" ref="X45:X75" si="41">W45-V45</f>
        <v>0</v>
      </c>
      <c r="Y45" s="194">
        <f t="shared" si="36"/>
        <v>0</v>
      </c>
      <c r="Z45" s="230"/>
      <c r="AA45" s="414">
        <v>68000</v>
      </c>
      <c r="AB45" s="415">
        <f t="shared" ref="AB45:AB75" si="42">AA45-W45</f>
        <v>0</v>
      </c>
      <c r="AC45" s="194">
        <f t="shared" si="37"/>
        <v>0</v>
      </c>
      <c r="AD45" s="1164"/>
      <c r="AE45" s="1357"/>
    </row>
    <row r="46" spans="1:31" x14ac:dyDescent="0.3">
      <c r="A46" s="476" t="s">
        <v>127</v>
      </c>
      <c r="B46" s="1098">
        <v>0</v>
      </c>
      <c r="C46" s="564">
        <v>0</v>
      </c>
      <c r="D46" s="415">
        <f t="shared" si="38"/>
        <v>0</v>
      </c>
      <c r="E46" s="194" t="str">
        <f t="shared" si="29"/>
        <v>-</v>
      </c>
      <c r="F46" s="785"/>
      <c r="G46" s="1098">
        <v>0</v>
      </c>
      <c r="H46" s="564">
        <v>0</v>
      </c>
      <c r="I46" s="415">
        <f t="shared" si="30"/>
        <v>0</v>
      </c>
      <c r="J46" s="267" t="str">
        <f t="shared" si="31"/>
        <v>-</v>
      </c>
      <c r="K46" s="785"/>
      <c r="L46" s="567">
        <v>0</v>
      </c>
      <c r="M46" s="567">
        <v>0</v>
      </c>
      <c r="N46" s="415">
        <f t="shared" si="32"/>
        <v>0</v>
      </c>
      <c r="O46" s="266" t="str">
        <f t="shared" si="33"/>
        <v>-</v>
      </c>
      <c r="P46" s="785"/>
      <c r="Q46" s="567">
        <v>0</v>
      </c>
      <c r="R46" s="567">
        <v>1</v>
      </c>
      <c r="S46" s="415">
        <f t="shared" si="34"/>
        <v>1</v>
      </c>
      <c r="T46" s="267" t="str">
        <f t="shared" si="35"/>
        <v>-</v>
      </c>
      <c r="U46" s="230"/>
      <c r="V46" s="414">
        <f t="shared" si="39"/>
        <v>0</v>
      </c>
      <c r="W46" s="415">
        <f t="shared" si="40"/>
        <v>1</v>
      </c>
      <c r="X46" s="415">
        <f t="shared" si="41"/>
        <v>1</v>
      </c>
      <c r="Y46" s="266" t="str">
        <f t="shared" si="36"/>
        <v>-</v>
      </c>
      <c r="Z46" s="230"/>
      <c r="AA46" s="1104">
        <v>0</v>
      </c>
      <c r="AB46" s="415">
        <f t="shared" si="42"/>
        <v>-1</v>
      </c>
      <c r="AC46" s="266" t="str">
        <f t="shared" si="37"/>
        <v>-</v>
      </c>
      <c r="AD46" s="1164"/>
      <c r="AE46" s="1357"/>
    </row>
    <row r="47" spans="1:31" x14ac:dyDescent="0.3">
      <c r="A47" s="476" t="s">
        <v>86</v>
      </c>
      <c r="B47" s="417">
        <v>3633.33</v>
      </c>
      <c r="C47" s="567">
        <v>1535.42</v>
      </c>
      <c r="D47" s="415">
        <f t="shared" si="38"/>
        <v>-2097.91</v>
      </c>
      <c r="E47" s="194">
        <f t="shared" si="29"/>
        <v>-0.57740695174949697</v>
      </c>
      <c r="F47" s="785"/>
      <c r="G47" s="417">
        <v>2633.33</v>
      </c>
      <c r="H47" s="567">
        <v>1627.0100000000002</v>
      </c>
      <c r="I47" s="415">
        <f t="shared" si="30"/>
        <v>-1006.3199999999997</v>
      </c>
      <c r="J47" s="195">
        <f t="shared" si="31"/>
        <v>-0.38214731917382166</v>
      </c>
      <c r="K47" s="785"/>
      <c r="L47" s="567">
        <v>3733</v>
      </c>
      <c r="M47" s="567">
        <v>5114</v>
      </c>
      <c r="N47" s="415">
        <f t="shared" si="32"/>
        <v>1381</v>
      </c>
      <c r="O47" s="194">
        <f t="shared" si="33"/>
        <v>0.36994374497723009</v>
      </c>
      <c r="P47" s="785"/>
      <c r="Q47" s="567">
        <v>3000</v>
      </c>
      <c r="R47" s="567">
        <v>3733.33</v>
      </c>
      <c r="S47" s="415">
        <f t="shared" si="34"/>
        <v>733.32999999999993</v>
      </c>
      <c r="T47" s="195">
        <f t="shared" si="35"/>
        <v>0.24444333333333332</v>
      </c>
      <c r="U47" s="230"/>
      <c r="V47" s="414">
        <f t="shared" si="39"/>
        <v>12999.66</v>
      </c>
      <c r="W47" s="415">
        <f t="shared" si="40"/>
        <v>12009.76</v>
      </c>
      <c r="X47" s="415">
        <f t="shared" si="41"/>
        <v>-989.89999999999964</v>
      </c>
      <c r="Y47" s="194">
        <f t="shared" si="36"/>
        <v>-7.6148145413033858E-2</v>
      </c>
      <c r="Z47" s="230"/>
      <c r="AA47" s="414">
        <v>11500</v>
      </c>
      <c r="AB47" s="415">
        <f t="shared" si="42"/>
        <v>-509.76000000000022</v>
      </c>
      <c r="AC47" s="194">
        <f t="shared" si="37"/>
        <v>-4.4326956521739153E-2</v>
      </c>
      <c r="AD47" s="1164"/>
      <c r="AE47" s="1359"/>
    </row>
    <row r="48" spans="1:31" s="671" customFormat="1" x14ac:dyDescent="0.3">
      <c r="A48" s="669" t="s">
        <v>87</v>
      </c>
      <c r="B48" s="1098">
        <v>0</v>
      </c>
      <c r="C48" s="564">
        <v>0</v>
      </c>
      <c r="D48" s="415">
        <f t="shared" si="38"/>
        <v>0</v>
      </c>
      <c r="E48" s="194" t="str">
        <f t="shared" si="29"/>
        <v>-</v>
      </c>
      <c r="F48" s="798"/>
      <c r="G48" s="1098">
        <v>0</v>
      </c>
      <c r="H48" s="564">
        <v>0</v>
      </c>
      <c r="I48" s="415">
        <f t="shared" si="30"/>
        <v>0</v>
      </c>
      <c r="J48" s="267" t="str">
        <f t="shared" si="31"/>
        <v>-</v>
      </c>
      <c r="K48" s="798"/>
      <c r="L48" s="567">
        <v>0</v>
      </c>
      <c r="M48" s="567">
        <v>0</v>
      </c>
      <c r="N48" s="415">
        <f t="shared" si="32"/>
        <v>0</v>
      </c>
      <c r="O48" s="267" t="str">
        <f t="shared" si="33"/>
        <v>-</v>
      </c>
      <c r="P48" s="798"/>
      <c r="Q48" s="567"/>
      <c r="R48" s="567"/>
      <c r="S48" s="415">
        <f t="shared" si="34"/>
        <v>0</v>
      </c>
      <c r="T48" s="267" t="str">
        <f t="shared" si="35"/>
        <v>-</v>
      </c>
      <c r="U48" s="670"/>
      <c r="V48" s="414">
        <f t="shared" si="39"/>
        <v>0</v>
      </c>
      <c r="W48" s="415">
        <f t="shared" si="40"/>
        <v>0</v>
      </c>
      <c r="X48" s="415">
        <f t="shared" si="41"/>
        <v>0</v>
      </c>
      <c r="Y48" s="267" t="str">
        <f t="shared" si="36"/>
        <v>-</v>
      </c>
      <c r="Z48" s="670"/>
      <c r="AA48" s="1104">
        <v>0</v>
      </c>
      <c r="AB48" s="427">
        <f t="shared" si="42"/>
        <v>0</v>
      </c>
      <c r="AC48" s="267" t="str">
        <f t="shared" si="37"/>
        <v>-</v>
      </c>
      <c r="AD48" s="1361"/>
      <c r="AE48" s="1360"/>
    </row>
    <row r="49" spans="1:31" x14ac:dyDescent="0.3">
      <c r="A49" s="476" t="s">
        <v>88</v>
      </c>
      <c r="B49" s="417">
        <v>15000</v>
      </c>
      <c r="C49" s="567">
        <v>8231.85</v>
      </c>
      <c r="D49" s="415">
        <f>C49-B49</f>
        <v>-6768.15</v>
      </c>
      <c r="E49" s="194">
        <f t="shared" si="29"/>
        <v>-0.45121</v>
      </c>
      <c r="F49" s="783"/>
      <c r="G49" s="417">
        <v>15000</v>
      </c>
      <c r="H49" s="567">
        <v>7975.32</v>
      </c>
      <c r="I49" s="415">
        <f t="shared" si="30"/>
        <v>-7024.68</v>
      </c>
      <c r="J49" s="195">
        <f t="shared" si="31"/>
        <v>-0.46831200000000001</v>
      </c>
      <c r="K49" s="783"/>
      <c r="L49" s="567">
        <v>15000</v>
      </c>
      <c r="M49" s="567">
        <v>7933</v>
      </c>
      <c r="N49" s="415">
        <f t="shared" si="32"/>
        <v>-7067</v>
      </c>
      <c r="O49" s="194">
        <f t="shared" si="33"/>
        <v>-0.47113333333333335</v>
      </c>
      <c r="P49" s="783"/>
      <c r="Q49" s="567">
        <v>15000</v>
      </c>
      <c r="R49" s="567">
        <v>8054.7199999999975</v>
      </c>
      <c r="S49" s="415">
        <f t="shared" si="34"/>
        <v>-6945.2800000000025</v>
      </c>
      <c r="T49" s="195">
        <f t="shared" si="35"/>
        <v>-0.46301866666666686</v>
      </c>
      <c r="U49" s="171"/>
      <c r="V49" s="414">
        <f t="shared" si="39"/>
        <v>60000</v>
      </c>
      <c r="W49" s="415">
        <f t="shared" si="40"/>
        <v>32194.889999999996</v>
      </c>
      <c r="X49" s="415">
        <f t="shared" si="41"/>
        <v>-27805.110000000004</v>
      </c>
      <c r="Y49" s="194">
        <f t="shared" si="36"/>
        <v>-0.46341850000000007</v>
      </c>
      <c r="Z49" s="171"/>
      <c r="AA49" s="414">
        <v>60000</v>
      </c>
      <c r="AB49" s="415">
        <f t="shared" si="42"/>
        <v>27805.110000000004</v>
      </c>
      <c r="AC49" s="194">
        <f t="shared" si="37"/>
        <v>0.46341850000000007</v>
      </c>
      <c r="AD49" s="1163"/>
      <c r="AE49" s="1359"/>
    </row>
    <row r="50" spans="1:31" x14ac:dyDescent="0.3">
      <c r="A50" s="476" t="s">
        <v>89</v>
      </c>
      <c r="B50" s="417">
        <v>82041</v>
      </c>
      <c r="C50" s="567">
        <v>41025.31</v>
      </c>
      <c r="D50" s="415">
        <f t="shared" si="38"/>
        <v>-41015.69</v>
      </c>
      <c r="E50" s="194">
        <f t="shared" si="29"/>
        <v>-0.49994137077802564</v>
      </c>
      <c r="F50" s="783"/>
      <c r="G50" s="417">
        <v>5833.33</v>
      </c>
      <c r="H50" s="567">
        <v>10636.4</v>
      </c>
      <c r="I50" s="415">
        <f t="shared" si="30"/>
        <v>4803.07</v>
      </c>
      <c r="J50" s="195">
        <f t="shared" si="31"/>
        <v>0.82338389907651377</v>
      </c>
      <c r="K50" s="783"/>
      <c r="L50" s="567">
        <v>10834</v>
      </c>
      <c r="M50" s="567">
        <v>10441</v>
      </c>
      <c r="N50" s="415">
        <f t="shared" si="32"/>
        <v>-393</v>
      </c>
      <c r="O50" s="194">
        <f t="shared" si="33"/>
        <v>-3.6274690788259185E-2</v>
      </c>
      <c r="P50" s="783"/>
      <c r="Q50" s="567">
        <v>15833.34</v>
      </c>
      <c r="R50" s="567">
        <v>28332.310000000005</v>
      </c>
      <c r="S50" s="415">
        <f t="shared" si="34"/>
        <v>12498.970000000005</v>
      </c>
      <c r="T50" s="195">
        <f t="shared" si="35"/>
        <v>0.7894082991965059</v>
      </c>
      <c r="U50" s="171"/>
      <c r="V50" s="414">
        <f t="shared" si="39"/>
        <v>114541.67</v>
      </c>
      <c r="W50" s="415">
        <f t="shared" si="40"/>
        <v>90435.02</v>
      </c>
      <c r="X50" s="415">
        <f t="shared" si="41"/>
        <v>-24106.649999999994</v>
      </c>
      <c r="Y50" s="194">
        <f t="shared" si="36"/>
        <v>-0.21046183454458098</v>
      </c>
      <c r="Z50" s="171"/>
      <c r="AA50" s="414">
        <v>92041</v>
      </c>
      <c r="AB50" s="415">
        <f t="shared" si="42"/>
        <v>1605.9799999999959</v>
      </c>
      <c r="AC50" s="194">
        <f t="shared" si="37"/>
        <v>1.7448528373224931E-2</v>
      </c>
      <c r="AD50" s="1163"/>
      <c r="AE50" s="1359"/>
    </row>
    <row r="51" spans="1:31" x14ac:dyDescent="0.3">
      <c r="A51" s="476" t="s">
        <v>113</v>
      </c>
      <c r="B51" s="417">
        <v>79501</v>
      </c>
      <c r="C51" s="567">
        <v>77918</v>
      </c>
      <c r="D51" s="415">
        <f t="shared" si="38"/>
        <v>-1583</v>
      </c>
      <c r="E51" s="194">
        <f t="shared" si="29"/>
        <v>-1.9911699223909132E-2</v>
      </c>
      <c r="F51" s="783"/>
      <c r="G51" s="417">
        <v>79500</v>
      </c>
      <c r="H51" s="567">
        <v>74921.429999999993</v>
      </c>
      <c r="I51" s="415">
        <f t="shared" si="30"/>
        <v>-4578.570000000007</v>
      </c>
      <c r="J51" s="195"/>
      <c r="K51" s="783"/>
      <c r="L51" s="567">
        <v>79501</v>
      </c>
      <c r="M51" s="567">
        <v>69998</v>
      </c>
      <c r="N51" s="415">
        <f t="shared" si="32"/>
        <v>-9503</v>
      </c>
      <c r="O51" s="194"/>
      <c r="P51" s="783"/>
      <c r="Q51" s="567">
        <v>79500.99000000002</v>
      </c>
      <c r="R51" s="567">
        <v>65235.12</v>
      </c>
      <c r="S51" s="415">
        <f t="shared" si="34"/>
        <v>-14265.870000000017</v>
      </c>
      <c r="T51" s="195"/>
      <c r="U51" s="171"/>
      <c r="V51" s="414">
        <f t="shared" si="39"/>
        <v>318002.99</v>
      </c>
      <c r="W51" s="415">
        <f t="shared" si="40"/>
        <v>288072.55</v>
      </c>
      <c r="X51" s="415">
        <f t="shared" si="41"/>
        <v>-29930.440000000002</v>
      </c>
      <c r="Y51" s="194">
        <f t="shared" si="36"/>
        <v>-9.4119995538406734E-2</v>
      </c>
      <c r="Z51" s="171"/>
      <c r="AA51" s="414">
        <v>330004</v>
      </c>
      <c r="AB51" s="415">
        <f t="shared" si="42"/>
        <v>41931.450000000012</v>
      </c>
      <c r="AC51" s="196">
        <f t="shared" si="37"/>
        <v>0.1270634598368505</v>
      </c>
      <c r="AD51" s="1163"/>
      <c r="AE51" s="1359"/>
    </row>
    <row r="52" spans="1:31" x14ac:dyDescent="0.3">
      <c r="A52" s="476" t="s">
        <v>126</v>
      </c>
      <c r="B52" s="417">
        <v>0</v>
      </c>
      <c r="C52" s="567">
        <v>66150.12999999999</v>
      </c>
      <c r="D52" s="415">
        <f t="shared" si="38"/>
        <v>66150.12999999999</v>
      </c>
      <c r="E52" s="194" t="str">
        <f t="shared" si="29"/>
        <v>-</v>
      </c>
      <c r="F52" s="785"/>
      <c r="G52" s="417">
        <v>0</v>
      </c>
      <c r="H52" s="567">
        <v>66205.55</v>
      </c>
      <c r="I52" s="415">
        <f t="shared" si="30"/>
        <v>66205.55</v>
      </c>
      <c r="J52" s="195" t="str">
        <f t="shared" si="31"/>
        <v>-</v>
      </c>
      <c r="K52" s="785"/>
      <c r="L52" s="567">
        <v>0</v>
      </c>
      <c r="M52" s="567">
        <v>82958</v>
      </c>
      <c r="N52" s="415">
        <f t="shared" si="32"/>
        <v>82958</v>
      </c>
      <c r="O52" s="194" t="str">
        <f t="shared" si="33"/>
        <v>-</v>
      </c>
      <c r="P52" s="785"/>
      <c r="Q52" s="567">
        <v>0</v>
      </c>
      <c r="R52" s="567">
        <v>189093.93</v>
      </c>
      <c r="S52" s="415">
        <f t="shared" si="34"/>
        <v>189093.93</v>
      </c>
      <c r="T52" s="195" t="str">
        <f t="shared" si="35"/>
        <v>-</v>
      </c>
      <c r="U52" s="230"/>
      <c r="V52" s="414">
        <f t="shared" si="39"/>
        <v>0</v>
      </c>
      <c r="W52" s="415">
        <f t="shared" si="40"/>
        <v>404407.61</v>
      </c>
      <c r="X52" s="415">
        <f t="shared" si="41"/>
        <v>404407.61</v>
      </c>
      <c r="Y52" s="194" t="str">
        <f t="shared" si="36"/>
        <v>-</v>
      </c>
      <c r="Z52" s="230"/>
      <c r="AA52" s="414">
        <v>162174</v>
      </c>
      <c r="AB52" s="415">
        <f t="shared" si="42"/>
        <v>-242233.61</v>
      </c>
      <c r="AC52" s="196">
        <f t="shared" si="37"/>
        <v>-1.493664890796305</v>
      </c>
      <c r="AD52" s="1164"/>
      <c r="AE52" s="1178"/>
    </row>
    <row r="53" spans="1:31" x14ac:dyDescent="0.3">
      <c r="A53" s="476" t="s">
        <v>82</v>
      </c>
      <c r="B53" s="417">
        <v>41850</v>
      </c>
      <c r="C53" s="567">
        <v>39450</v>
      </c>
      <c r="D53" s="415">
        <f t="shared" si="38"/>
        <v>-2400</v>
      </c>
      <c r="E53" s="194">
        <f t="shared" si="29"/>
        <v>-5.7347670250896057E-2</v>
      </c>
      <c r="F53" s="785"/>
      <c r="G53" s="417">
        <v>41850</v>
      </c>
      <c r="H53" s="567">
        <v>29400</v>
      </c>
      <c r="I53" s="415">
        <f t="shared" si="30"/>
        <v>-12450</v>
      </c>
      <c r="J53" s="195">
        <f t="shared" si="31"/>
        <v>-0.29749103942652327</v>
      </c>
      <c r="K53" s="785"/>
      <c r="L53" s="567">
        <v>41850</v>
      </c>
      <c r="M53" s="567">
        <v>29302</v>
      </c>
      <c r="N53" s="415">
        <f t="shared" si="32"/>
        <v>-12548</v>
      </c>
      <c r="O53" s="194">
        <f t="shared" si="33"/>
        <v>-0.29983273596176824</v>
      </c>
      <c r="P53" s="785"/>
      <c r="Q53" s="567">
        <v>41850</v>
      </c>
      <c r="R53" s="567">
        <v>39968.249999999985</v>
      </c>
      <c r="S53" s="415">
        <f t="shared" si="34"/>
        <v>-1881.7500000000146</v>
      </c>
      <c r="T53" s="195">
        <f t="shared" si="35"/>
        <v>-4.4964157706093535E-2</v>
      </c>
      <c r="U53" s="230"/>
      <c r="V53" s="414">
        <f t="shared" si="39"/>
        <v>167400</v>
      </c>
      <c r="W53" s="415">
        <f t="shared" si="40"/>
        <v>138120.25</v>
      </c>
      <c r="X53" s="415">
        <f t="shared" si="41"/>
        <v>-29279.75</v>
      </c>
      <c r="Y53" s="194">
        <f t="shared" si="36"/>
        <v>-0.17490890083632019</v>
      </c>
      <c r="Z53" s="230"/>
      <c r="AA53" s="414">
        <v>167400</v>
      </c>
      <c r="AB53" s="415">
        <f>AA53-W53</f>
        <v>29279.75</v>
      </c>
      <c r="AC53" s="196">
        <f t="shared" si="37"/>
        <v>0.17490890083632019</v>
      </c>
      <c r="AD53" s="1164"/>
      <c r="AE53" s="1179"/>
    </row>
    <row r="54" spans="1:31" x14ac:dyDescent="0.3">
      <c r="A54" s="476" t="s">
        <v>125</v>
      </c>
      <c r="B54" s="1098">
        <v>0</v>
      </c>
      <c r="C54" s="564">
        <v>0</v>
      </c>
      <c r="D54" s="415">
        <f t="shared" si="38"/>
        <v>0</v>
      </c>
      <c r="E54" s="194" t="str">
        <f t="shared" si="29"/>
        <v>-</v>
      </c>
      <c r="F54" s="785"/>
      <c r="G54" s="1098">
        <v>0</v>
      </c>
      <c r="H54" s="564">
        <v>0</v>
      </c>
      <c r="I54" s="415">
        <f t="shared" si="30"/>
        <v>0</v>
      </c>
      <c r="J54" s="195" t="str">
        <f t="shared" si="31"/>
        <v>-</v>
      </c>
      <c r="K54" s="785"/>
      <c r="L54" s="567">
        <v>0</v>
      </c>
      <c r="M54" s="567">
        <v>0</v>
      </c>
      <c r="N54" s="415">
        <f t="shared" si="32"/>
        <v>0</v>
      </c>
      <c r="O54" s="194" t="str">
        <f t="shared" si="33"/>
        <v>-</v>
      </c>
      <c r="P54" s="785"/>
      <c r="Q54" s="567">
        <v>0</v>
      </c>
      <c r="R54" s="567">
        <v>0</v>
      </c>
      <c r="S54" s="415">
        <f t="shared" si="34"/>
        <v>0</v>
      </c>
      <c r="T54" s="195" t="str">
        <f t="shared" si="35"/>
        <v>-</v>
      </c>
      <c r="U54" s="230"/>
      <c r="V54" s="414">
        <f t="shared" si="39"/>
        <v>0</v>
      </c>
      <c r="W54" s="415">
        <f t="shared" si="40"/>
        <v>0</v>
      </c>
      <c r="X54" s="415">
        <f t="shared" si="41"/>
        <v>0</v>
      </c>
      <c r="Y54" s="194" t="str">
        <f t="shared" si="36"/>
        <v>-</v>
      </c>
      <c r="Z54" s="230"/>
      <c r="AA54" s="1104">
        <v>0</v>
      </c>
      <c r="AB54" s="415">
        <f t="shared" si="42"/>
        <v>0</v>
      </c>
      <c r="AC54" s="196" t="str">
        <f t="shared" si="37"/>
        <v>-</v>
      </c>
      <c r="AD54" s="1164"/>
      <c r="AE54" s="1179"/>
    </row>
    <row r="55" spans="1:31" x14ac:dyDescent="0.3">
      <c r="A55" s="476" t="s">
        <v>90</v>
      </c>
      <c r="B55" s="1098">
        <v>0</v>
      </c>
      <c r="C55" s="564">
        <v>0</v>
      </c>
      <c r="D55" s="415">
        <f t="shared" si="38"/>
        <v>0</v>
      </c>
      <c r="E55" s="194" t="str">
        <f t="shared" si="29"/>
        <v>-</v>
      </c>
      <c r="F55" s="785"/>
      <c r="G55" s="1098">
        <v>0</v>
      </c>
      <c r="H55" s="564">
        <v>0</v>
      </c>
      <c r="I55" s="415">
        <f t="shared" si="30"/>
        <v>0</v>
      </c>
      <c r="J55" s="195" t="str">
        <f t="shared" si="31"/>
        <v>-</v>
      </c>
      <c r="K55" s="785"/>
      <c r="L55" s="567">
        <v>0</v>
      </c>
      <c r="M55" s="567">
        <v>0</v>
      </c>
      <c r="N55" s="415">
        <f t="shared" si="32"/>
        <v>0</v>
      </c>
      <c r="O55" s="194" t="str">
        <f t="shared" si="33"/>
        <v>-</v>
      </c>
      <c r="P55" s="785"/>
      <c r="Q55" s="567">
        <v>0</v>
      </c>
      <c r="R55" s="567">
        <v>1</v>
      </c>
      <c r="S55" s="415">
        <f t="shared" si="34"/>
        <v>1</v>
      </c>
      <c r="T55" s="195" t="str">
        <f t="shared" si="35"/>
        <v>-</v>
      </c>
      <c r="U55" s="230"/>
      <c r="V55" s="414">
        <f t="shared" si="39"/>
        <v>0</v>
      </c>
      <c r="W55" s="415">
        <f t="shared" si="40"/>
        <v>1</v>
      </c>
      <c r="X55" s="415">
        <f t="shared" si="41"/>
        <v>1</v>
      </c>
      <c r="Y55" s="194" t="str">
        <f t="shared" si="36"/>
        <v>-</v>
      </c>
      <c r="Z55" s="230"/>
      <c r="AA55" s="1104">
        <v>0</v>
      </c>
      <c r="AB55" s="415">
        <f t="shared" si="42"/>
        <v>-1</v>
      </c>
      <c r="AC55" s="196" t="str">
        <f t="shared" si="37"/>
        <v>-</v>
      </c>
      <c r="AD55" s="1164"/>
      <c r="AE55" s="1179"/>
    </row>
    <row r="56" spans="1:31" x14ac:dyDescent="0.3">
      <c r="A56" s="476" t="s">
        <v>91</v>
      </c>
      <c r="B56" s="417">
        <v>4500</v>
      </c>
      <c r="C56" s="567">
        <v>3407.67</v>
      </c>
      <c r="D56" s="415">
        <f t="shared" si="38"/>
        <v>-1092.33</v>
      </c>
      <c r="E56" s="194">
        <f t="shared" si="29"/>
        <v>-0.24273999999999998</v>
      </c>
      <c r="F56" s="785"/>
      <c r="G56" s="417">
        <v>2500</v>
      </c>
      <c r="H56" s="567">
        <v>2640.46</v>
      </c>
      <c r="I56" s="415">
        <f t="shared" si="30"/>
        <v>140.46000000000004</v>
      </c>
      <c r="J56" s="267">
        <f t="shared" si="31"/>
        <v>5.6184000000000012E-2</v>
      </c>
      <c r="K56" s="785"/>
      <c r="L56" s="567">
        <v>3000</v>
      </c>
      <c r="M56" s="567">
        <v>6522</v>
      </c>
      <c r="N56" s="415">
        <f t="shared" si="32"/>
        <v>3522</v>
      </c>
      <c r="O56" s="266">
        <f t="shared" si="33"/>
        <v>1.1739999999999999</v>
      </c>
      <c r="P56" s="785"/>
      <c r="Q56" s="567">
        <v>5000</v>
      </c>
      <c r="R56" s="567">
        <v>20259.849999999999</v>
      </c>
      <c r="S56" s="415">
        <f t="shared" si="34"/>
        <v>15259.849999999999</v>
      </c>
      <c r="T56" s="267">
        <f t="shared" si="35"/>
        <v>3.0519699999999998</v>
      </c>
      <c r="U56" s="230"/>
      <c r="V56" s="414">
        <f t="shared" si="39"/>
        <v>15000</v>
      </c>
      <c r="W56" s="415">
        <f t="shared" si="40"/>
        <v>32829.979999999996</v>
      </c>
      <c r="X56" s="415">
        <f t="shared" si="41"/>
        <v>17829.979999999996</v>
      </c>
      <c r="Y56" s="266">
        <f t="shared" si="36"/>
        <v>1.188665333333333</v>
      </c>
      <c r="Z56" s="230"/>
      <c r="AA56" s="414">
        <v>15000</v>
      </c>
      <c r="AB56" s="415">
        <f t="shared" si="42"/>
        <v>-17829.979999999996</v>
      </c>
      <c r="AC56" s="196">
        <f t="shared" si="37"/>
        <v>-1.188665333333333</v>
      </c>
      <c r="AD56" s="1164"/>
      <c r="AE56" s="1178"/>
    </row>
    <row r="57" spans="1:31" x14ac:dyDescent="0.3">
      <c r="A57" s="476" t="s">
        <v>92</v>
      </c>
      <c r="B57" s="417">
        <v>40000</v>
      </c>
      <c r="C57" s="567">
        <v>30313.96</v>
      </c>
      <c r="D57" s="415">
        <f t="shared" si="38"/>
        <v>-9686.0400000000009</v>
      </c>
      <c r="E57" s="194">
        <f t="shared" si="29"/>
        <v>-0.24215100000000003</v>
      </c>
      <c r="F57" s="785"/>
      <c r="G57" s="417">
        <v>0</v>
      </c>
      <c r="H57" s="567">
        <v>0</v>
      </c>
      <c r="I57" s="415">
        <f t="shared" si="30"/>
        <v>0</v>
      </c>
      <c r="J57" s="267" t="str">
        <f t="shared" si="31"/>
        <v>-</v>
      </c>
      <c r="K57" s="785"/>
      <c r="L57" s="567">
        <v>0</v>
      </c>
      <c r="M57" s="567">
        <v>0</v>
      </c>
      <c r="N57" s="415">
        <f t="shared" si="32"/>
        <v>0</v>
      </c>
      <c r="O57" s="196" t="str">
        <f t="shared" si="33"/>
        <v>-</v>
      </c>
      <c r="P57" s="785"/>
      <c r="Q57" s="567">
        <v>0</v>
      </c>
      <c r="R57" s="567">
        <v>10104.730000000003</v>
      </c>
      <c r="S57" s="415">
        <f t="shared" si="34"/>
        <v>10104.730000000003</v>
      </c>
      <c r="T57" s="267" t="str">
        <f t="shared" si="35"/>
        <v>-</v>
      </c>
      <c r="U57" s="230"/>
      <c r="V57" s="414">
        <f t="shared" si="39"/>
        <v>40000</v>
      </c>
      <c r="W57" s="415">
        <f t="shared" si="40"/>
        <v>40418.69</v>
      </c>
      <c r="X57" s="415">
        <f t="shared" si="41"/>
        <v>418.69000000000233</v>
      </c>
      <c r="Y57" s="266">
        <f t="shared" si="36"/>
        <v>1.0467250000000058E-2</v>
      </c>
      <c r="Z57" s="230"/>
      <c r="AA57" s="414">
        <v>40000</v>
      </c>
      <c r="AB57" s="415">
        <f t="shared" si="42"/>
        <v>-418.69000000000233</v>
      </c>
      <c r="AC57" s="196">
        <f t="shared" si="37"/>
        <v>-1.0467250000000058E-2</v>
      </c>
      <c r="AD57" s="1164"/>
      <c r="AE57" s="1178"/>
    </row>
    <row r="58" spans="1:31" x14ac:dyDescent="0.3">
      <c r="A58" s="476" t="s">
        <v>93</v>
      </c>
      <c r="B58" s="1098">
        <v>0</v>
      </c>
      <c r="C58" s="564">
        <v>0</v>
      </c>
      <c r="D58" s="415">
        <f t="shared" si="38"/>
        <v>0</v>
      </c>
      <c r="E58" s="194" t="str">
        <f t="shared" si="29"/>
        <v>-</v>
      </c>
      <c r="F58" s="785"/>
      <c r="G58" s="1098">
        <v>0</v>
      </c>
      <c r="H58" s="564">
        <v>0</v>
      </c>
      <c r="I58" s="415">
        <f t="shared" si="30"/>
        <v>0</v>
      </c>
      <c r="J58" s="195" t="str">
        <f t="shared" si="31"/>
        <v>-</v>
      </c>
      <c r="K58" s="785"/>
      <c r="L58" s="567">
        <v>0</v>
      </c>
      <c r="M58" s="567">
        <v>0</v>
      </c>
      <c r="N58" s="415">
        <f t="shared" si="32"/>
        <v>0</v>
      </c>
      <c r="O58" s="194" t="str">
        <f t="shared" si="33"/>
        <v>-</v>
      </c>
      <c r="P58" s="785"/>
      <c r="Q58" s="567">
        <v>0</v>
      </c>
      <c r="R58" s="567">
        <v>0</v>
      </c>
      <c r="S58" s="415">
        <f t="shared" si="34"/>
        <v>0</v>
      </c>
      <c r="T58" s="195" t="str">
        <f t="shared" si="35"/>
        <v>-</v>
      </c>
      <c r="U58" s="230"/>
      <c r="V58" s="414">
        <f t="shared" si="39"/>
        <v>0</v>
      </c>
      <c r="W58" s="415">
        <f t="shared" si="40"/>
        <v>0</v>
      </c>
      <c r="X58" s="415">
        <f t="shared" si="41"/>
        <v>0</v>
      </c>
      <c r="Y58" s="194" t="str">
        <f t="shared" si="36"/>
        <v>-</v>
      </c>
      <c r="Z58" s="230"/>
      <c r="AA58" s="1104">
        <v>0</v>
      </c>
      <c r="AB58" s="415">
        <f t="shared" si="42"/>
        <v>0</v>
      </c>
      <c r="AC58" s="196" t="str">
        <f t="shared" si="37"/>
        <v>-</v>
      </c>
      <c r="AD58" s="1164"/>
      <c r="AE58" s="1179"/>
    </row>
    <row r="59" spans="1:31" x14ac:dyDescent="0.3">
      <c r="A59" s="476" t="s">
        <v>94</v>
      </c>
      <c r="B59" s="1098">
        <v>0</v>
      </c>
      <c r="C59" s="564">
        <v>0</v>
      </c>
      <c r="D59" s="415">
        <f t="shared" si="38"/>
        <v>0</v>
      </c>
      <c r="E59" s="194" t="str">
        <f t="shared" si="29"/>
        <v>-</v>
      </c>
      <c r="F59" s="785"/>
      <c r="G59" s="1098">
        <v>0</v>
      </c>
      <c r="H59" s="564">
        <v>0</v>
      </c>
      <c r="I59" s="415">
        <f t="shared" si="30"/>
        <v>0</v>
      </c>
      <c r="J59" s="195" t="str">
        <f t="shared" si="31"/>
        <v>-</v>
      </c>
      <c r="K59" s="785"/>
      <c r="L59" s="567">
        <v>0</v>
      </c>
      <c r="M59" s="567">
        <v>0</v>
      </c>
      <c r="N59" s="415">
        <f t="shared" si="32"/>
        <v>0</v>
      </c>
      <c r="O59" s="194" t="str">
        <f t="shared" si="33"/>
        <v>-</v>
      </c>
      <c r="P59" s="785"/>
      <c r="Q59" s="567">
        <v>0</v>
      </c>
      <c r="R59" s="567">
        <v>0</v>
      </c>
      <c r="S59" s="415">
        <f t="shared" si="34"/>
        <v>0</v>
      </c>
      <c r="T59" s="195" t="str">
        <f t="shared" si="35"/>
        <v>-</v>
      </c>
      <c r="U59" s="230"/>
      <c r="V59" s="414">
        <f t="shared" si="39"/>
        <v>0</v>
      </c>
      <c r="W59" s="415">
        <f t="shared" si="40"/>
        <v>0</v>
      </c>
      <c r="X59" s="415">
        <f t="shared" si="41"/>
        <v>0</v>
      </c>
      <c r="Y59" s="194" t="str">
        <f t="shared" si="36"/>
        <v>-</v>
      </c>
      <c r="Z59" s="230"/>
      <c r="AA59" s="414">
        <v>5400</v>
      </c>
      <c r="AB59" s="415">
        <f t="shared" si="42"/>
        <v>5400</v>
      </c>
      <c r="AC59" s="196">
        <f t="shared" si="37"/>
        <v>1</v>
      </c>
      <c r="AD59" s="1164"/>
      <c r="AE59" s="1179"/>
    </row>
    <row r="60" spans="1:31" x14ac:dyDescent="0.3">
      <c r="A60" s="476" t="s">
        <v>95</v>
      </c>
      <c r="B60" s="1098">
        <v>0</v>
      </c>
      <c r="C60" s="564">
        <v>0</v>
      </c>
      <c r="D60" s="415">
        <f t="shared" si="38"/>
        <v>0</v>
      </c>
      <c r="E60" s="194" t="str">
        <f t="shared" si="29"/>
        <v>-</v>
      </c>
      <c r="F60" s="783"/>
      <c r="G60" s="1098">
        <v>0</v>
      </c>
      <c r="H60" s="564">
        <v>0</v>
      </c>
      <c r="I60" s="415">
        <f t="shared" si="30"/>
        <v>0</v>
      </c>
      <c r="J60" s="195" t="str">
        <f t="shared" si="31"/>
        <v>-</v>
      </c>
      <c r="K60" s="783"/>
      <c r="L60" s="567">
        <v>0</v>
      </c>
      <c r="M60" s="567">
        <v>0</v>
      </c>
      <c r="N60" s="415">
        <f t="shared" si="32"/>
        <v>0</v>
      </c>
      <c r="O60" s="194" t="str">
        <f t="shared" si="33"/>
        <v>-</v>
      </c>
      <c r="P60" s="783"/>
      <c r="Q60" s="567">
        <v>0</v>
      </c>
      <c r="R60" s="567">
        <v>0</v>
      </c>
      <c r="S60" s="415">
        <f t="shared" si="34"/>
        <v>0</v>
      </c>
      <c r="T60" s="195" t="str">
        <f t="shared" si="35"/>
        <v>-</v>
      </c>
      <c r="U60" s="171"/>
      <c r="V60" s="414">
        <f t="shared" si="39"/>
        <v>0</v>
      </c>
      <c r="W60" s="415">
        <f t="shared" si="40"/>
        <v>0</v>
      </c>
      <c r="X60" s="415">
        <f t="shared" si="41"/>
        <v>0</v>
      </c>
      <c r="Y60" s="194" t="str">
        <f t="shared" si="36"/>
        <v>-</v>
      </c>
      <c r="Z60" s="171"/>
      <c r="AA60" s="414">
        <v>27500</v>
      </c>
      <c r="AB60" s="415">
        <f t="shared" si="42"/>
        <v>27500</v>
      </c>
      <c r="AC60" s="194">
        <f t="shared" si="37"/>
        <v>1</v>
      </c>
      <c r="AD60" s="1163"/>
      <c r="AE60" s="1179"/>
    </row>
    <row r="61" spans="1:31" x14ac:dyDescent="0.3">
      <c r="A61" s="476" t="s">
        <v>96</v>
      </c>
      <c r="B61" s="417">
        <v>24533.309999999998</v>
      </c>
      <c r="C61" s="567">
        <v>7996.77</v>
      </c>
      <c r="D61" s="415">
        <f t="shared" si="38"/>
        <v>-16536.539999999997</v>
      </c>
      <c r="E61" s="194">
        <f t="shared" si="29"/>
        <v>-0.67404439107482839</v>
      </c>
      <c r="F61" s="783"/>
      <c r="G61" s="417">
        <v>20100.020000000004</v>
      </c>
      <c r="H61" s="567">
        <v>1452</v>
      </c>
      <c r="I61" s="415">
        <f t="shared" si="30"/>
        <v>-18648.020000000004</v>
      </c>
      <c r="J61" s="195">
        <f t="shared" si="31"/>
        <v>-0.92776126590918817</v>
      </c>
      <c r="K61" s="783"/>
      <c r="L61" s="567">
        <v>24534</v>
      </c>
      <c r="M61" s="567">
        <v>20973</v>
      </c>
      <c r="N61" s="415">
        <f t="shared" si="32"/>
        <v>-3561</v>
      </c>
      <c r="O61" s="194">
        <f t="shared" si="33"/>
        <v>-0.14514551235020787</v>
      </c>
      <c r="P61" s="783"/>
      <c r="Q61" s="567">
        <v>22033.319999999996</v>
      </c>
      <c r="R61" s="567">
        <v>877.21999999999821</v>
      </c>
      <c r="S61" s="415">
        <f t="shared" si="34"/>
        <v>-21156.1</v>
      </c>
      <c r="T61" s="195">
        <f t="shared" si="35"/>
        <v>-0.96018666274533304</v>
      </c>
      <c r="U61" s="171"/>
      <c r="V61" s="414">
        <f t="shared" si="39"/>
        <v>91200.65</v>
      </c>
      <c r="W61" s="415">
        <f t="shared" si="40"/>
        <v>31298.989999999998</v>
      </c>
      <c r="X61" s="415">
        <f t="shared" si="41"/>
        <v>-59901.659999999996</v>
      </c>
      <c r="Y61" s="194">
        <f t="shared" si="36"/>
        <v>-0.65681176614421055</v>
      </c>
      <c r="Z61" s="171"/>
      <c r="AA61" s="414">
        <v>158200</v>
      </c>
      <c r="AB61" s="415">
        <f t="shared" si="42"/>
        <v>126901.01000000001</v>
      </c>
      <c r="AC61" s="194">
        <f t="shared" si="37"/>
        <v>0.80215556257901399</v>
      </c>
      <c r="AD61" s="1163"/>
      <c r="AE61" s="1179"/>
    </row>
    <row r="62" spans="1:31" x14ac:dyDescent="0.3">
      <c r="A62" s="476" t="s">
        <v>110</v>
      </c>
      <c r="B62" s="417">
        <v>252930.77</v>
      </c>
      <c r="C62" s="567">
        <v>114400.92</v>
      </c>
      <c r="D62" s="415">
        <f t="shared" si="38"/>
        <v>-138529.84999999998</v>
      </c>
      <c r="E62" s="194">
        <f t="shared" si="29"/>
        <v>-0.54769868450564552</v>
      </c>
      <c r="F62" s="783"/>
      <c r="G62" s="417">
        <v>182392.89</v>
      </c>
      <c r="H62" s="567">
        <v>47306.869999999988</v>
      </c>
      <c r="I62" s="415">
        <f t="shared" si="30"/>
        <v>-135086.02000000002</v>
      </c>
      <c r="J62" s="195">
        <f t="shared" si="31"/>
        <v>-0.740632049856768</v>
      </c>
      <c r="K62" s="783"/>
      <c r="L62" s="567">
        <v>145514.99000000002</v>
      </c>
      <c r="M62" s="567">
        <v>94840.86</v>
      </c>
      <c r="N62" s="415">
        <f t="shared" si="32"/>
        <v>-50674.130000000019</v>
      </c>
      <c r="O62" s="194">
        <f t="shared" si="33"/>
        <v>-0.34823993047039353</v>
      </c>
      <c r="P62" s="783"/>
      <c r="Q62" s="567">
        <v>163627.69000000003</v>
      </c>
      <c r="R62" s="567">
        <v>205348.8</v>
      </c>
      <c r="S62" s="415">
        <f t="shared" si="34"/>
        <v>41721.109999999957</v>
      </c>
      <c r="T62" s="195">
        <f t="shared" si="35"/>
        <v>0.25497585402568446</v>
      </c>
      <c r="U62" s="171"/>
      <c r="V62" s="414">
        <f t="shared" si="39"/>
        <v>744466.34000000008</v>
      </c>
      <c r="W62" s="415">
        <f t="shared" si="40"/>
        <v>461897.44999999995</v>
      </c>
      <c r="X62" s="415">
        <f t="shared" si="41"/>
        <v>-282568.89000000013</v>
      </c>
      <c r="Y62" s="194">
        <f t="shared" si="36"/>
        <v>-0.37955898717999809</v>
      </c>
      <c r="Z62" s="171"/>
      <c r="AA62" s="414">
        <v>537265</v>
      </c>
      <c r="AB62" s="415">
        <f t="shared" si="42"/>
        <v>75367.550000000047</v>
      </c>
      <c r="AC62" s="194">
        <f t="shared" si="37"/>
        <v>0.14028002940820647</v>
      </c>
      <c r="AD62" s="1163"/>
      <c r="AE62" s="1179"/>
    </row>
    <row r="63" spans="1:31" x14ac:dyDescent="0.3">
      <c r="A63" s="476" t="s">
        <v>124</v>
      </c>
      <c r="B63" s="1098">
        <v>0</v>
      </c>
      <c r="C63" s="564">
        <v>0</v>
      </c>
      <c r="D63" s="415">
        <f t="shared" si="38"/>
        <v>0</v>
      </c>
      <c r="E63" s="194" t="str">
        <f t="shared" si="29"/>
        <v>-</v>
      </c>
      <c r="F63" s="783"/>
      <c r="G63" s="1098">
        <v>0</v>
      </c>
      <c r="H63" s="564">
        <v>0</v>
      </c>
      <c r="I63" s="415">
        <f t="shared" si="30"/>
        <v>0</v>
      </c>
      <c r="J63" s="195" t="str">
        <f t="shared" si="31"/>
        <v>-</v>
      </c>
      <c r="K63" s="783"/>
      <c r="L63" s="567">
        <v>0</v>
      </c>
      <c r="M63" s="567">
        <v>0</v>
      </c>
      <c r="N63" s="415">
        <f t="shared" si="32"/>
        <v>0</v>
      </c>
      <c r="O63" s="194" t="str">
        <f t="shared" si="33"/>
        <v>-</v>
      </c>
      <c r="P63" s="783"/>
      <c r="Q63" s="567">
        <v>0</v>
      </c>
      <c r="R63" s="567">
        <v>0</v>
      </c>
      <c r="S63" s="415">
        <f t="shared" si="34"/>
        <v>0</v>
      </c>
      <c r="T63" s="195" t="str">
        <f t="shared" si="35"/>
        <v>-</v>
      </c>
      <c r="U63" s="171"/>
      <c r="V63" s="414">
        <f t="shared" si="39"/>
        <v>0</v>
      </c>
      <c r="W63" s="415">
        <f t="shared" si="40"/>
        <v>0</v>
      </c>
      <c r="X63" s="415">
        <f t="shared" si="41"/>
        <v>0</v>
      </c>
      <c r="Y63" s="194" t="str">
        <f t="shared" si="36"/>
        <v>-</v>
      </c>
      <c r="Z63" s="171"/>
      <c r="AA63" s="414">
        <v>65000</v>
      </c>
      <c r="AB63" s="415">
        <f t="shared" si="42"/>
        <v>65000</v>
      </c>
      <c r="AC63" s="194">
        <f t="shared" si="37"/>
        <v>1</v>
      </c>
      <c r="AD63" s="1163"/>
      <c r="AE63" s="1179"/>
    </row>
    <row r="64" spans="1:31" x14ac:dyDescent="0.3">
      <c r="A64" s="476" t="s">
        <v>123</v>
      </c>
      <c r="B64" s="1098">
        <v>0</v>
      </c>
      <c r="C64" s="564">
        <v>0</v>
      </c>
      <c r="D64" s="415">
        <f t="shared" si="38"/>
        <v>0</v>
      </c>
      <c r="E64" s="194" t="str">
        <f t="shared" si="29"/>
        <v>-</v>
      </c>
      <c r="F64" s="785"/>
      <c r="G64" s="1098">
        <v>0</v>
      </c>
      <c r="H64" s="564">
        <v>0</v>
      </c>
      <c r="I64" s="415">
        <f t="shared" si="30"/>
        <v>0</v>
      </c>
      <c r="J64" s="195" t="str">
        <f t="shared" si="31"/>
        <v>-</v>
      </c>
      <c r="K64" s="785"/>
      <c r="L64" s="567">
        <v>0</v>
      </c>
      <c r="M64" s="567">
        <v>0</v>
      </c>
      <c r="N64" s="415">
        <f t="shared" si="32"/>
        <v>0</v>
      </c>
      <c r="O64" s="194" t="str">
        <f t="shared" si="33"/>
        <v>-</v>
      </c>
      <c r="P64" s="785"/>
      <c r="Q64" s="567">
        <v>0</v>
      </c>
      <c r="R64" s="567">
        <v>0</v>
      </c>
      <c r="S64" s="415">
        <f t="shared" si="34"/>
        <v>0</v>
      </c>
      <c r="T64" s="195" t="str">
        <f t="shared" si="35"/>
        <v>-</v>
      </c>
      <c r="U64" s="230"/>
      <c r="V64" s="414">
        <f t="shared" si="39"/>
        <v>0</v>
      </c>
      <c r="W64" s="415">
        <f t="shared" si="40"/>
        <v>0</v>
      </c>
      <c r="X64" s="415">
        <f t="shared" si="41"/>
        <v>0</v>
      </c>
      <c r="Y64" s="194" t="str">
        <f t="shared" si="36"/>
        <v>-</v>
      </c>
      <c r="Z64" s="230"/>
      <c r="AA64" s="1104">
        <v>0</v>
      </c>
      <c r="AB64" s="415">
        <f t="shared" si="42"/>
        <v>0</v>
      </c>
      <c r="AC64" s="194" t="str">
        <f t="shared" si="37"/>
        <v>-</v>
      </c>
      <c r="AD64" s="1164"/>
      <c r="AE64" s="1179"/>
    </row>
    <row r="65" spans="1:31" x14ac:dyDescent="0.3">
      <c r="A65" s="476" t="s">
        <v>122</v>
      </c>
      <c r="B65" s="417">
        <v>5524.5</v>
      </c>
      <c r="C65" s="567">
        <v>0</v>
      </c>
      <c r="D65" s="415">
        <f t="shared" si="38"/>
        <v>-5524.5</v>
      </c>
      <c r="E65" s="194">
        <f t="shared" si="29"/>
        <v>-1</v>
      </c>
      <c r="F65" s="785"/>
      <c r="G65" s="417">
        <v>5524.5</v>
      </c>
      <c r="H65" s="564">
        <v>0</v>
      </c>
      <c r="I65" s="415">
        <f t="shared" si="30"/>
        <v>-5524.5</v>
      </c>
      <c r="J65" s="267">
        <f t="shared" si="31"/>
        <v>-1</v>
      </c>
      <c r="K65" s="785"/>
      <c r="L65" s="567">
        <v>0</v>
      </c>
      <c r="M65" s="567">
        <v>0</v>
      </c>
      <c r="N65" s="415">
        <f t="shared" si="32"/>
        <v>0</v>
      </c>
      <c r="O65" s="266" t="str">
        <f t="shared" si="33"/>
        <v>-</v>
      </c>
      <c r="P65" s="785"/>
      <c r="Q65" s="567">
        <v>0</v>
      </c>
      <c r="R65" s="567">
        <v>7365.66</v>
      </c>
      <c r="S65" s="415">
        <f t="shared" si="34"/>
        <v>7365.66</v>
      </c>
      <c r="T65" s="267" t="str">
        <f t="shared" si="35"/>
        <v>-</v>
      </c>
      <c r="U65" s="230"/>
      <c r="V65" s="414">
        <f t="shared" si="39"/>
        <v>11049</v>
      </c>
      <c r="W65" s="415">
        <f t="shared" si="40"/>
        <v>7365.66</v>
      </c>
      <c r="X65" s="415">
        <f t="shared" si="41"/>
        <v>-3683.34</v>
      </c>
      <c r="Y65" s="266">
        <f t="shared" si="36"/>
        <v>-0.33336410534890037</v>
      </c>
      <c r="Z65" s="230"/>
      <c r="AA65" s="414">
        <v>11048.5</v>
      </c>
      <c r="AB65" s="415">
        <f t="shared" si="42"/>
        <v>3682.84</v>
      </c>
      <c r="AC65" s="194">
        <f t="shared" si="37"/>
        <v>0.33333393673349326</v>
      </c>
      <c r="AD65" s="1164"/>
      <c r="AE65" s="1178"/>
    </row>
    <row r="66" spans="1:31" x14ac:dyDescent="0.3">
      <c r="A66" s="476" t="s">
        <v>114</v>
      </c>
      <c r="B66" s="1098">
        <v>0</v>
      </c>
      <c r="C66" s="564">
        <v>0</v>
      </c>
      <c r="D66" s="415">
        <f t="shared" si="38"/>
        <v>0</v>
      </c>
      <c r="E66" s="194" t="str">
        <f t="shared" si="29"/>
        <v>-</v>
      </c>
      <c r="F66" s="785"/>
      <c r="G66" s="1098">
        <v>0</v>
      </c>
      <c r="H66" s="564">
        <v>0</v>
      </c>
      <c r="I66" s="415">
        <f t="shared" si="30"/>
        <v>0</v>
      </c>
      <c r="J66" s="195" t="str">
        <f t="shared" si="31"/>
        <v>-</v>
      </c>
      <c r="K66" s="785"/>
      <c r="L66" s="567">
        <v>-1</v>
      </c>
      <c r="M66" s="567">
        <v>0</v>
      </c>
      <c r="N66" s="415">
        <f t="shared" si="32"/>
        <v>1</v>
      </c>
      <c r="O66" s="194">
        <f t="shared" si="33"/>
        <v>-1</v>
      </c>
      <c r="P66" s="785"/>
      <c r="Q66" s="567">
        <v>0</v>
      </c>
      <c r="R66" s="567">
        <v>0</v>
      </c>
      <c r="S66" s="415">
        <f t="shared" si="34"/>
        <v>0</v>
      </c>
      <c r="T66" s="195" t="str">
        <f t="shared" si="35"/>
        <v>-</v>
      </c>
      <c r="U66" s="230"/>
      <c r="V66" s="414">
        <f t="shared" si="39"/>
        <v>-1</v>
      </c>
      <c r="W66" s="415">
        <f t="shared" si="40"/>
        <v>0</v>
      </c>
      <c r="X66" s="415">
        <f t="shared" si="41"/>
        <v>1</v>
      </c>
      <c r="Y66" s="194">
        <f t="shared" si="36"/>
        <v>-1</v>
      </c>
      <c r="Z66" s="230"/>
      <c r="AA66" s="1104">
        <v>0</v>
      </c>
      <c r="AB66" s="415">
        <f t="shared" si="42"/>
        <v>0</v>
      </c>
      <c r="AC66" s="194" t="str">
        <f t="shared" si="37"/>
        <v>-</v>
      </c>
      <c r="AD66" s="1164"/>
      <c r="AE66" s="1179"/>
    </row>
    <row r="67" spans="1:31" x14ac:dyDescent="0.3">
      <c r="A67" s="476" t="s">
        <v>115</v>
      </c>
      <c r="B67" s="417">
        <v>0</v>
      </c>
      <c r="C67" s="567">
        <v>0</v>
      </c>
      <c r="D67" s="415">
        <f t="shared" si="38"/>
        <v>0</v>
      </c>
      <c r="E67" s="194" t="str">
        <f t="shared" si="29"/>
        <v>-</v>
      </c>
      <c r="F67" s="783"/>
      <c r="G67" s="1098">
        <v>5000</v>
      </c>
      <c r="H67" s="564">
        <v>0</v>
      </c>
      <c r="I67" s="415">
        <f t="shared" si="30"/>
        <v>-5000</v>
      </c>
      <c r="J67" s="267">
        <f t="shared" si="31"/>
        <v>-1</v>
      </c>
      <c r="K67" s="783"/>
      <c r="L67" s="567">
        <v>0</v>
      </c>
      <c r="M67" s="567">
        <v>1344</v>
      </c>
      <c r="N67" s="415">
        <f t="shared" si="32"/>
        <v>1344</v>
      </c>
      <c r="O67" s="266" t="str">
        <f t="shared" si="33"/>
        <v>-</v>
      </c>
      <c r="P67" s="783"/>
      <c r="Q67" s="567">
        <v>0</v>
      </c>
      <c r="R67" s="567">
        <v>-1344.1</v>
      </c>
      <c r="S67" s="415">
        <f t="shared" si="34"/>
        <v>-1344.1</v>
      </c>
      <c r="T67" s="267" t="str">
        <f t="shared" si="35"/>
        <v>-</v>
      </c>
      <c r="U67" s="171"/>
      <c r="V67" s="414">
        <f t="shared" si="39"/>
        <v>5000</v>
      </c>
      <c r="W67" s="415">
        <f t="shared" si="40"/>
        <v>-9.9999999999909051E-2</v>
      </c>
      <c r="X67" s="415">
        <f t="shared" si="41"/>
        <v>-5000.1000000000004</v>
      </c>
      <c r="Y67" s="266">
        <f t="shared" si="36"/>
        <v>-1.0000200000000001</v>
      </c>
      <c r="Z67" s="171"/>
      <c r="AA67" s="1104">
        <v>0</v>
      </c>
      <c r="AB67" s="415">
        <f t="shared" si="42"/>
        <v>9.9999999999909051E-2</v>
      </c>
      <c r="AC67" s="194" t="str">
        <f t="shared" si="37"/>
        <v>-</v>
      </c>
      <c r="AD67" s="1163"/>
      <c r="AE67" s="1178"/>
    </row>
    <row r="68" spans="1:31" x14ac:dyDescent="0.3">
      <c r="A68" s="476" t="s">
        <v>121</v>
      </c>
      <c r="B68" s="1098">
        <v>0</v>
      </c>
      <c r="C68" s="564">
        <v>0</v>
      </c>
      <c r="D68" s="415">
        <f t="shared" si="38"/>
        <v>0</v>
      </c>
      <c r="E68" s="194" t="str">
        <f t="shared" si="29"/>
        <v>-</v>
      </c>
      <c r="F68" s="785"/>
      <c r="G68" s="1098">
        <v>0</v>
      </c>
      <c r="H68" s="564">
        <v>0</v>
      </c>
      <c r="I68" s="415">
        <f t="shared" si="30"/>
        <v>0</v>
      </c>
      <c r="J68" s="267" t="str">
        <f t="shared" si="31"/>
        <v>-</v>
      </c>
      <c r="K68" s="785"/>
      <c r="L68" s="567">
        <v>-1</v>
      </c>
      <c r="M68" s="567">
        <v>0</v>
      </c>
      <c r="N68" s="415">
        <f t="shared" si="32"/>
        <v>1</v>
      </c>
      <c r="O68" s="266">
        <f t="shared" si="33"/>
        <v>-1</v>
      </c>
      <c r="P68" s="785"/>
      <c r="Q68" s="567">
        <v>0</v>
      </c>
      <c r="R68" s="567">
        <v>0</v>
      </c>
      <c r="S68" s="415">
        <f t="shared" si="34"/>
        <v>0</v>
      </c>
      <c r="T68" s="267" t="str">
        <f t="shared" si="35"/>
        <v>-</v>
      </c>
      <c r="U68" s="230"/>
      <c r="V68" s="414">
        <f t="shared" si="39"/>
        <v>-1</v>
      </c>
      <c r="W68" s="415">
        <f t="shared" si="40"/>
        <v>0</v>
      </c>
      <c r="X68" s="415">
        <f t="shared" si="41"/>
        <v>1</v>
      </c>
      <c r="Y68" s="266">
        <f t="shared" si="36"/>
        <v>-1</v>
      </c>
      <c r="Z68" s="230"/>
      <c r="AA68" s="1104">
        <v>0</v>
      </c>
      <c r="AB68" s="415">
        <f t="shared" si="42"/>
        <v>0</v>
      </c>
      <c r="AC68" s="194" t="str">
        <f t="shared" si="37"/>
        <v>-</v>
      </c>
      <c r="AD68" s="1164"/>
      <c r="AE68" s="1178"/>
    </row>
    <row r="69" spans="1:31" x14ac:dyDescent="0.3">
      <c r="A69" s="476" t="s">
        <v>97</v>
      </c>
      <c r="B69" s="417">
        <v>466.66</v>
      </c>
      <c r="C69" s="567">
        <v>1018.83</v>
      </c>
      <c r="D69" s="415">
        <f t="shared" si="38"/>
        <v>552.17000000000007</v>
      </c>
      <c r="E69" s="194">
        <f t="shared" si="29"/>
        <v>1.1832383319761712</v>
      </c>
      <c r="F69" s="785"/>
      <c r="G69" s="417">
        <v>1091.6599999999999</v>
      </c>
      <c r="H69" s="567">
        <v>1209.69</v>
      </c>
      <c r="I69" s="415">
        <f t="shared" si="30"/>
        <v>118.0300000000002</v>
      </c>
      <c r="J69" s="195">
        <f t="shared" si="31"/>
        <v>0.10811974424271313</v>
      </c>
      <c r="K69" s="785"/>
      <c r="L69" s="567">
        <v>625</v>
      </c>
      <c r="M69" s="567">
        <v>672</v>
      </c>
      <c r="N69" s="415">
        <f t="shared" si="32"/>
        <v>47</v>
      </c>
      <c r="O69" s="194">
        <f t="shared" si="33"/>
        <v>7.5200000000000003E-2</v>
      </c>
      <c r="P69" s="785"/>
      <c r="Q69" s="567">
        <v>1716.6799999999998</v>
      </c>
      <c r="R69" s="567">
        <v>0</v>
      </c>
      <c r="S69" s="415">
        <f t="shared" si="34"/>
        <v>-1716.6799999999998</v>
      </c>
      <c r="T69" s="195">
        <f t="shared" si="35"/>
        <v>-1</v>
      </c>
      <c r="U69" s="230"/>
      <c r="V69" s="414">
        <f t="shared" si="39"/>
        <v>3899.9999999999995</v>
      </c>
      <c r="W69" s="415">
        <f t="shared" si="40"/>
        <v>2900.52</v>
      </c>
      <c r="X69" s="415">
        <f t="shared" si="41"/>
        <v>-999.47999999999956</v>
      </c>
      <c r="Y69" s="194">
        <f t="shared" si="36"/>
        <v>-0.25627692307692301</v>
      </c>
      <c r="Z69" s="230"/>
      <c r="AA69" s="414">
        <v>4900</v>
      </c>
      <c r="AB69" s="415">
        <f t="shared" si="42"/>
        <v>1999.48</v>
      </c>
      <c r="AC69" s="194">
        <f t="shared" si="37"/>
        <v>0.40805714285714284</v>
      </c>
      <c r="AD69" s="1164"/>
      <c r="AE69" s="1179"/>
    </row>
    <row r="70" spans="1:31" x14ac:dyDescent="0.3">
      <c r="A70" s="476" t="s">
        <v>98</v>
      </c>
      <c r="B70" s="1098">
        <v>0</v>
      </c>
      <c r="C70" s="564">
        <v>0</v>
      </c>
      <c r="D70" s="415">
        <f t="shared" si="38"/>
        <v>0</v>
      </c>
      <c r="E70" s="194" t="str">
        <f t="shared" si="29"/>
        <v>-</v>
      </c>
      <c r="F70" s="783"/>
      <c r="G70" s="1098">
        <v>0</v>
      </c>
      <c r="H70" s="564">
        <v>0</v>
      </c>
      <c r="I70" s="415">
        <f t="shared" si="30"/>
        <v>0</v>
      </c>
      <c r="J70" s="195" t="str">
        <f t="shared" si="31"/>
        <v>-</v>
      </c>
      <c r="K70" s="783"/>
      <c r="L70" s="567">
        <v>0</v>
      </c>
      <c r="M70" s="567">
        <v>0</v>
      </c>
      <c r="N70" s="415">
        <f t="shared" si="32"/>
        <v>0</v>
      </c>
      <c r="O70" s="194" t="str">
        <f t="shared" si="33"/>
        <v>-</v>
      </c>
      <c r="P70" s="783"/>
      <c r="Q70" s="567">
        <v>0</v>
      </c>
      <c r="R70" s="567">
        <v>0</v>
      </c>
      <c r="S70" s="415">
        <f t="shared" si="34"/>
        <v>0</v>
      </c>
      <c r="T70" s="195" t="str">
        <f t="shared" si="35"/>
        <v>-</v>
      </c>
      <c r="U70" s="171"/>
      <c r="V70" s="414">
        <f t="shared" si="39"/>
        <v>0</v>
      </c>
      <c r="W70" s="415">
        <f t="shared" si="40"/>
        <v>0</v>
      </c>
      <c r="X70" s="415">
        <f t="shared" si="41"/>
        <v>0</v>
      </c>
      <c r="Y70" s="194" t="str">
        <f t="shared" si="36"/>
        <v>-</v>
      </c>
      <c r="Z70" s="171"/>
      <c r="AA70" s="414">
        <v>44700</v>
      </c>
      <c r="AB70" s="415">
        <f t="shared" si="42"/>
        <v>44700</v>
      </c>
      <c r="AC70" s="194">
        <f t="shared" si="37"/>
        <v>1</v>
      </c>
      <c r="AD70" s="1163"/>
      <c r="AE70" s="1179"/>
    </row>
    <row r="71" spans="1:31" x14ac:dyDescent="0.3">
      <c r="A71" s="476" t="s">
        <v>116</v>
      </c>
      <c r="B71" s="1098">
        <v>0</v>
      </c>
      <c r="C71" s="564">
        <v>0</v>
      </c>
      <c r="D71" s="415">
        <f t="shared" si="38"/>
        <v>0</v>
      </c>
      <c r="E71" s="194" t="str">
        <f t="shared" si="29"/>
        <v>-</v>
      </c>
      <c r="F71" s="785"/>
      <c r="G71" s="1098">
        <v>0</v>
      </c>
      <c r="H71" s="564">
        <v>0</v>
      </c>
      <c r="I71" s="415">
        <f t="shared" si="30"/>
        <v>0</v>
      </c>
      <c r="J71" s="195" t="str">
        <f t="shared" si="31"/>
        <v>-</v>
      </c>
      <c r="K71" s="785"/>
      <c r="L71" s="567">
        <v>0</v>
      </c>
      <c r="M71" s="567">
        <v>0</v>
      </c>
      <c r="N71" s="415">
        <f t="shared" si="32"/>
        <v>0</v>
      </c>
      <c r="O71" s="194" t="str">
        <f t="shared" si="33"/>
        <v>-</v>
      </c>
      <c r="P71" s="785"/>
      <c r="Q71" s="567">
        <v>0</v>
      </c>
      <c r="R71" s="567">
        <v>0</v>
      </c>
      <c r="S71" s="415">
        <f t="shared" si="34"/>
        <v>0</v>
      </c>
      <c r="T71" s="195" t="str">
        <f t="shared" si="35"/>
        <v>-</v>
      </c>
      <c r="U71" s="230"/>
      <c r="V71" s="414">
        <f t="shared" si="39"/>
        <v>0</v>
      </c>
      <c r="W71" s="415">
        <f t="shared" si="40"/>
        <v>0</v>
      </c>
      <c r="X71" s="415">
        <f t="shared" si="41"/>
        <v>0</v>
      </c>
      <c r="Y71" s="194" t="str">
        <f t="shared" si="36"/>
        <v>-</v>
      </c>
      <c r="Z71" s="230"/>
      <c r="AA71" s="1104">
        <v>0</v>
      </c>
      <c r="AB71" s="415">
        <f t="shared" si="42"/>
        <v>0</v>
      </c>
      <c r="AC71" s="194" t="str">
        <f t="shared" si="37"/>
        <v>-</v>
      </c>
      <c r="AD71" s="1164"/>
      <c r="AE71" s="1179"/>
    </row>
    <row r="72" spans="1:31" x14ac:dyDescent="0.3">
      <c r="A72" s="476" t="s">
        <v>99</v>
      </c>
      <c r="B72" s="417">
        <v>4000</v>
      </c>
      <c r="C72" s="567">
        <v>0</v>
      </c>
      <c r="D72" s="415">
        <f t="shared" si="38"/>
        <v>-4000</v>
      </c>
      <c r="E72" s="194">
        <f t="shared" si="29"/>
        <v>-1</v>
      </c>
      <c r="F72" s="783"/>
      <c r="G72" s="417">
        <v>2000</v>
      </c>
      <c r="H72" s="567">
        <v>6050</v>
      </c>
      <c r="I72" s="415">
        <f t="shared" si="30"/>
        <v>4050</v>
      </c>
      <c r="J72" s="195">
        <f t="shared" si="31"/>
        <v>2.0249999999999999</v>
      </c>
      <c r="K72" s="783"/>
      <c r="L72" s="567">
        <v>0</v>
      </c>
      <c r="M72" s="567">
        <v>0</v>
      </c>
      <c r="N72" s="415">
        <f t="shared" si="32"/>
        <v>0</v>
      </c>
      <c r="O72" s="194" t="str">
        <f t="shared" si="33"/>
        <v>-</v>
      </c>
      <c r="P72" s="783"/>
      <c r="Q72" s="567">
        <v>4000</v>
      </c>
      <c r="R72" s="567">
        <v>621.13</v>
      </c>
      <c r="S72" s="415">
        <f t="shared" si="34"/>
        <v>-3378.87</v>
      </c>
      <c r="T72" s="195">
        <f t="shared" si="35"/>
        <v>-0.84471750000000001</v>
      </c>
      <c r="U72" s="171"/>
      <c r="V72" s="414">
        <f t="shared" si="39"/>
        <v>10000</v>
      </c>
      <c r="W72" s="415">
        <f t="shared" si="40"/>
        <v>6671.13</v>
      </c>
      <c r="X72" s="415">
        <f t="shared" si="41"/>
        <v>-3328.87</v>
      </c>
      <c r="Y72" s="194">
        <f t="shared" si="36"/>
        <v>-0.33288699999999999</v>
      </c>
      <c r="Z72" s="171"/>
      <c r="AA72" s="414">
        <v>10000</v>
      </c>
      <c r="AB72" s="415">
        <f t="shared" si="42"/>
        <v>3328.87</v>
      </c>
      <c r="AC72" s="194">
        <f t="shared" si="37"/>
        <v>0.33288699999999999</v>
      </c>
      <c r="AD72" s="1163"/>
      <c r="AE72" s="1179"/>
    </row>
    <row r="73" spans="1:31" x14ac:dyDescent="0.3">
      <c r="A73" s="476" t="s">
        <v>100</v>
      </c>
      <c r="B73" s="1098">
        <v>0</v>
      </c>
      <c r="C73" s="564">
        <v>0</v>
      </c>
      <c r="D73" s="415">
        <f t="shared" si="38"/>
        <v>0</v>
      </c>
      <c r="E73" s="194" t="str">
        <f t="shared" si="29"/>
        <v>-</v>
      </c>
      <c r="F73" s="785"/>
      <c r="G73" s="1098">
        <v>0</v>
      </c>
      <c r="H73" s="564">
        <v>0</v>
      </c>
      <c r="I73" s="415">
        <f t="shared" si="30"/>
        <v>0</v>
      </c>
      <c r="J73" s="195" t="str">
        <f t="shared" si="31"/>
        <v>-</v>
      </c>
      <c r="K73" s="785"/>
      <c r="L73" s="567">
        <v>-1</v>
      </c>
      <c r="M73" s="567">
        <v>0</v>
      </c>
      <c r="N73" s="415">
        <f t="shared" si="32"/>
        <v>1</v>
      </c>
      <c r="O73" s="194"/>
      <c r="P73" s="785"/>
      <c r="Q73" s="567">
        <v>0</v>
      </c>
      <c r="R73" s="567">
        <v>0</v>
      </c>
      <c r="S73" s="415">
        <f t="shared" si="34"/>
        <v>0</v>
      </c>
      <c r="T73" s="195"/>
      <c r="U73" s="230"/>
      <c r="V73" s="414">
        <f t="shared" si="39"/>
        <v>-1</v>
      </c>
      <c r="W73" s="415">
        <f t="shared" si="40"/>
        <v>0</v>
      </c>
      <c r="X73" s="415">
        <f t="shared" si="41"/>
        <v>1</v>
      </c>
      <c r="Y73" s="194">
        <f t="shared" si="36"/>
        <v>-1</v>
      </c>
      <c r="Z73" s="230"/>
      <c r="AA73" s="1104">
        <v>0</v>
      </c>
      <c r="AB73" s="415">
        <f t="shared" si="42"/>
        <v>0</v>
      </c>
      <c r="AC73" s="194" t="str">
        <f t="shared" si="37"/>
        <v>-</v>
      </c>
      <c r="AD73" s="1164"/>
      <c r="AE73" s="1178"/>
    </row>
    <row r="74" spans="1:31" x14ac:dyDescent="0.3">
      <c r="A74" s="496" t="s">
        <v>101</v>
      </c>
      <c r="B74" s="417">
        <v>24999.99</v>
      </c>
      <c r="C74" s="567">
        <v>13380.3</v>
      </c>
      <c r="D74" s="415">
        <f t="shared" si="38"/>
        <v>-11619.690000000002</v>
      </c>
      <c r="E74" s="194">
        <f t="shared" si="29"/>
        <v>-0.46478778591511444</v>
      </c>
      <c r="F74" s="783"/>
      <c r="G74" s="417">
        <v>24999.99</v>
      </c>
      <c r="H74" s="567">
        <v>16212.95</v>
      </c>
      <c r="I74" s="415">
        <f t="shared" si="30"/>
        <v>-8787.0400000000009</v>
      </c>
      <c r="J74" s="197">
        <f t="shared" si="31"/>
        <v>-0.35148174059269627</v>
      </c>
      <c r="K74" s="783"/>
      <c r="L74" s="567">
        <v>25000</v>
      </c>
      <c r="M74" s="567">
        <v>18187</v>
      </c>
      <c r="N74" s="415">
        <f t="shared" si="32"/>
        <v>-6813</v>
      </c>
      <c r="O74" s="196">
        <f>IF(ISERROR(N74/L74),"-",N74/L74)</f>
        <v>-0.27251999999999998</v>
      </c>
      <c r="P74" s="783"/>
      <c r="Q74" s="567">
        <v>25000.039999999994</v>
      </c>
      <c r="R74" s="567">
        <v>18842.25</v>
      </c>
      <c r="S74" s="415">
        <f t="shared" si="34"/>
        <v>-6157.7899999999936</v>
      </c>
      <c r="T74" s="267">
        <f>IF(ISERROR(S74/Q74),"-",S74/Q74)</f>
        <v>-0.24631120590207037</v>
      </c>
      <c r="U74" s="171"/>
      <c r="V74" s="414">
        <f t="shared" si="39"/>
        <v>100000.02</v>
      </c>
      <c r="W74" s="415">
        <f t="shared" si="40"/>
        <v>66622.5</v>
      </c>
      <c r="X74" s="415">
        <f t="shared" si="41"/>
        <v>-33377.520000000004</v>
      </c>
      <c r="Y74" s="266">
        <f t="shared" si="36"/>
        <v>-0.33377513324497338</v>
      </c>
      <c r="Z74" s="171"/>
      <c r="AA74" s="414">
        <v>115000</v>
      </c>
      <c r="AB74" s="415">
        <f t="shared" si="42"/>
        <v>48377.5</v>
      </c>
      <c r="AC74" s="196">
        <f t="shared" si="37"/>
        <v>0.42067391304347829</v>
      </c>
      <c r="AD74" s="1163"/>
      <c r="AE74" s="1178"/>
    </row>
    <row r="75" spans="1:31" x14ac:dyDescent="0.3">
      <c r="A75" s="497" t="s">
        <v>120</v>
      </c>
      <c r="B75" s="1099">
        <v>0</v>
      </c>
      <c r="C75" s="564">
        <v>0</v>
      </c>
      <c r="D75" s="415">
        <f t="shared" si="38"/>
        <v>0</v>
      </c>
      <c r="E75" s="194" t="str">
        <f t="shared" si="29"/>
        <v>-</v>
      </c>
      <c r="F75" s="783"/>
      <c r="G75" s="1099">
        <v>0</v>
      </c>
      <c r="H75" s="564">
        <v>0</v>
      </c>
      <c r="I75" s="415">
        <f t="shared" si="30"/>
        <v>0</v>
      </c>
      <c r="J75" s="267" t="str">
        <f t="shared" si="31"/>
        <v>-</v>
      </c>
      <c r="K75" s="783"/>
      <c r="L75" s="567">
        <v>0</v>
      </c>
      <c r="M75" s="567">
        <v>0</v>
      </c>
      <c r="N75" s="415">
        <f t="shared" si="32"/>
        <v>0</v>
      </c>
      <c r="O75" s="266" t="str">
        <f>IF(ISERROR(N75/L75),"-",N75/L75)</f>
        <v>-</v>
      </c>
      <c r="P75" s="783"/>
      <c r="Q75" s="567">
        <v>0</v>
      </c>
      <c r="R75" s="567">
        <v>0</v>
      </c>
      <c r="S75" s="415">
        <f t="shared" si="34"/>
        <v>0</v>
      </c>
      <c r="T75" s="267" t="str">
        <f>IF(ISERROR(S75/Q75),"-",S75/Q75)</f>
        <v>-</v>
      </c>
      <c r="U75" s="171"/>
      <c r="V75" s="414">
        <f t="shared" si="39"/>
        <v>0</v>
      </c>
      <c r="W75" s="415">
        <f t="shared" si="40"/>
        <v>0</v>
      </c>
      <c r="X75" s="415">
        <f t="shared" si="41"/>
        <v>0</v>
      </c>
      <c r="Y75" s="266" t="str">
        <f t="shared" si="36"/>
        <v>-</v>
      </c>
      <c r="Z75" s="171"/>
      <c r="AA75" s="1105">
        <v>0</v>
      </c>
      <c r="AB75" s="415">
        <f t="shared" si="42"/>
        <v>0</v>
      </c>
      <c r="AC75" s="266" t="str">
        <f t="shared" si="37"/>
        <v>-</v>
      </c>
      <c r="AD75" s="1163"/>
      <c r="AE75" s="1178"/>
    </row>
    <row r="76" spans="1:31" x14ac:dyDescent="0.3">
      <c r="A76" s="477" t="s">
        <v>102</v>
      </c>
      <c r="B76" s="432">
        <f>SUM(B43:B75)</f>
        <v>617105.55000000005</v>
      </c>
      <c r="C76" s="433">
        <f>SUM(C43:C75)</f>
        <v>413572.4</v>
      </c>
      <c r="D76" s="433">
        <f>SUM(D43:D75)</f>
        <v>-203533.15</v>
      </c>
      <c r="E76" s="211">
        <f t="shared" si="29"/>
        <v>-0.32981902366621069</v>
      </c>
      <c r="F76" s="784"/>
      <c r="G76" s="565">
        <f>SUM(G43:G75)</f>
        <v>473800.70999999996</v>
      </c>
      <c r="H76" s="433">
        <f>SUM(H43:H75)</f>
        <v>272116.76999999996</v>
      </c>
      <c r="I76" s="433">
        <f>SUM(I43:I75)</f>
        <v>-201683.94000000003</v>
      </c>
      <c r="J76" s="211">
        <f>IF(ISERROR(I76/G76),"-",I76/G76)</f>
        <v>-0.42567251534933337</v>
      </c>
      <c r="K76" s="784"/>
      <c r="L76" s="565">
        <f>SUM(L43:L75)</f>
        <v>404713.99</v>
      </c>
      <c r="M76" s="433">
        <f>SUM(M43:M75)</f>
        <v>353966.86</v>
      </c>
      <c r="N76" s="433">
        <f>SUM(N43:N75)</f>
        <v>-50747.130000000019</v>
      </c>
      <c r="O76" s="211">
        <f>IF(ISERROR(N76/L76),"-",N76/L76)</f>
        <v>-0.12539010573862303</v>
      </c>
      <c r="P76" s="784"/>
      <c r="Q76" s="565">
        <f>SUM(Q43:Q75)</f>
        <v>410937.72000000003</v>
      </c>
      <c r="R76" s="433">
        <f>SUM(R43:R75)</f>
        <v>684566.02999999991</v>
      </c>
      <c r="S76" s="433">
        <f>SUM(S43:S75)</f>
        <v>273628.30999999994</v>
      </c>
      <c r="T76" s="211">
        <f>IF(ISERROR(S76/Q76),"-",S76/Q76)</f>
        <v>0.66586321158349715</v>
      </c>
      <c r="U76" s="178"/>
      <c r="V76" s="432">
        <f>SUM(V43:V75)</f>
        <v>1906557.9700000002</v>
      </c>
      <c r="W76" s="433">
        <f>SUM(W43:W75)</f>
        <v>1724222.0599999996</v>
      </c>
      <c r="X76" s="433">
        <f>SUM(X43:X75)</f>
        <v>-182335.91000000021</v>
      </c>
      <c r="Y76" s="211">
        <f t="shared" si="36"/>
        <v>-9.563617412587784E-2</v>
      </c>
      <c r="Z76" s="178"/>
      <c r="AA76" s="1046">
        <f>SUM(AA43:AA75)</f>
        <v>2070132.5</v>
      </c>
      <c r="AB76" s="763">
        <f>SUM(AB44:AB75)</f>
        <v>345910.44000000006</v>
      </c>
      <c r="AC76" s="1303">
        <f t="shared" si="37"/>
        <v>0.16709579700816254</v>
      </c>
      <c r="AD76" s="1173"/>
      <c r="AE76" s="1181"/>
    </row>
    <row r="77" spans="1:31" x14ac:dyDescent="0.3">
      <c r="A77" s="1338"/>
      <c r="B77" s="448"/>
      <c r="C77" s="449"/>
      <c r="D77" s="449"/>
      <c r="E77" s="253"/>
      <c r="F77" s="781"/>
      <c r="G77" s="792"/>
      <c r="H77" s="451"/>
      <c r="I77" s="451"/>
      <c r="J77" s="264"/>
      <c r="K77" s="781"/>
      <c r="L77" s="760"/>
      <c r="M77" s="449"/>
      <c r="N77" s="449"/>
      <c r="O77" s="257"/>
      <c r="P77" s="781"/>
      <c r="Q77" s="792"/>
      <c r="R77" s="451"/>
      <c r="S77" s="451"/>
      <c r="T77" s="258"/>
      <c r="U77" s="160"/>
      <c r="V77" s="452"/>
      <c r="W77" s="423"/>
      <c r="X77" s="437"/>
      <c r="Y77" s="257"/>
      <c r="Z77" s="160"/>
      <c r="AA77" s="1069"/>
      <c r="AB77" s="755"/>
      <c r="AC77" s="1088"/>
      <c r="AD77" s="1168"/>
      <c r="AE77" s="1178"/>
    </row>
    <row r="78" spans="1:31" ht="19.5" thickBot="1" x14ac:dyDescent="0.35">
      <c r="A78" s="477" t="s">
        <v>103</v>
      </c>
      <c r="B78" s="432">
        <f>B41+B76+B77</f>
        <v>1424526.8599999999</v>
      </c>
      <c r="C78" s="433">
        <f>C41+C76+C77</f>
        <v>1013471.8600000001</v>
      </c>
      <c r="D78" s="433">
        <f>D41+D76+D77</f>
        <v>-411054.99999999994</v>
      </c>
      <c r="E78" s="211">
        <f>IF(ISERROR(D78/B78),"-",D78/B78)</f>
        <v>-0.28855545763454399</v>
      </c>
      <c r="F78" s="785"/>
      <c r="G78" s="565">
        <f>G41+G76+G77</f>
        <v>1281223.0999999999</v>
      </c>
      <c r="H78" s="433">
        <f>H41+H76+H77</f>
        <v>835928.85999999987</v>
      </c>
      <c r="I78" s="433">
        <f>I41+I76+I77</f>
        <v>-445294.24</v>
      </c>
      <c r="J78" s="211">
        <f>IF(ISERROR(I78/G78),"-",I78/G78)</f>
        <v>-0.34755402084149128</v>
      </c>
      <c r="K78" s="785"/>
      <c r="L78" s="565">
        <f>L41+L76+L77</f>
        <v>1212134.99</v>
      </c>
      <c r="M78" s="433">
        <f>M41+M76+M77</f>
        <v>889530.45000000007</v>
      </c>
      <c r="N78" s="433">
        <f>N41+N76+N77</f>
        <v>-322604.54000000004</v>
      </c>
      <c r="O78" s="211">
        <f>IF(ISERROR(N78/L78),"-",N78/L78)</f>
        <v>-0.26614572028813394</v>
      </c>
      <c r="P78" s="785"/>
      <c r="Q78" s="565">
        <f>Q41+Q76+Q77</f>
        <v>1235422.33</v>
      </c>
      <c r="R78" s="433">
        <f>R41+R76+R77</f>
        <v>1507797.95</v>
      </c>
      <c r="S78" s="433">
        <f>S41+S76+S77</f>
        <v>272375.62000000017</v>
      </c>
      <c r="T78" s="211">
        <f>IF(ISERROR(S78/Q78),"-",S78/Q78)</f>
        <v>0.22047166655956441</v>
      </c>
      <c r="U78" s="230"/>
      <c r="V78" s="1046">
        <f>V41+V76</f>
        <v>5153307.28</v>
      </c>
      <c r="W78" s="763">
        <f>W41+W76+W77</f>
        <v>4246729.1199999992</v>
      </c>
      <c r="X78" s="930">
        <f>X41+X76+X77</f>
        <v>-906578.15999999992</v>
      </c>
      <c r="Y78" s="1303">
        <f>IF(ISERROR(X78/V78),"-",X78/V78)</f>
        <v>-0.17592161901900014</v>
      </c>
      <c r="Z78" s="230"/>
      <c r="AA78" s="1046">
        <f>AA41+AA76</f>
        <v>5311517.82</v>
      </c>
      <c r="AB78" s="763">
        <f>AB41+AB76+AB77</f>
        <v>1064788.7000000002</v>
      </c>
      <c r="AC78" s="1303">
        <f>IF(ISERROR(AB78/AA78),"-",AB78/AA78)</f>
        <v>0.20046787680738687</v>
      </c>
      <c r="AD78" s="1164"/>
      <c r="AE78" s="1181"/>
    </row>
    <row r="79" spans="1:31" ht="19.5" thickBot="1" x14ac:dyDescent="0.35">
      <c r="A79" s="1339" t="s">
        <v>166</v>
      </c>
      <c r="B79" s="448">
        <f>B25-B78</f>
        <v>108058.64000000013</v>
      </c>
      <c r="C79" s="448">
        <f>C25-C78</f>
        <v>498052.15999999992</v>
      </c>
      <c r="D79" s="448">
        <f>D25-D78</f>
        <v>389993.51999999996</v>
      </c>
      <c r="E79" s="1160"/>
      <c r="F79" s="726">
        <f>F25-F78</f>
        <v>0</v>
      </c>
      <c r="G79" s="760">
        <f>G25-G78</f>
        <v>136636.80000000005</v>
      </c>
      <c r="H79" s="448">
        <f>H25-H78</f>
        <v>570354.68000000017</v>
      </c>
      <c r="I79" s="448">
        <f>I25-I78</f>
        <v>433717.88</v>
      </c>
      <c r="J79" s="262"/>
      <c r="K79" s="726">
        <f>K25-K78</f>
        <v>0</v>
      </c>
      <c r="L79" s="760">
        <f>L25-L78</f>
        <v>489922.40999999992</v>
      </c>
      <c r="M79" s="448">
        <f>M25-M78</f>
        <v>603664.89</v>
      </c>
      <c r="N79" s="448">
        <f>N25-N78</f>
        <v>113742.48000000001</v>
      </c>
      <c r="O79" s="262"/>
      <c r="P79" s="726">
        <f>P25-P78</f>
        <v>0</v>
      </c>
      <c r="Q79" s="760">
        <f>Q25-Q78</f>
        <v>18373.169999999925</v>
      </c>
      <c r="R79" s="448">
        <f>R25-R78</f>
        <v>-169669.25</v>
      </c>
      <c r="S79" s="448">
        <f>S25-S78</f>
        <v>-188042.42000000022</v>
      </c>
      <c r="T79" s="262"/>
      <c r="U79" s="262">
        <f>U25-U78</f>
        <v>0</v>
      </c>
      <c r="V79" s="752">
        <f>V25-V78</f>
        <v>752991.01999999955</v>
      </c>
      <c r="W79" s="755">
        <f>W25-W78</f>
        <v>1502402.4800000004</v>
      </c>
      <c r="X79" s="1228">
        <f>X25-X78</f>
        <v>749411.45999999985</v>
      </c>
      <c r="Y79" s="1088"/>
      <c r="Z79" s="727">
        <f>Z25-Z78</f>
        <v>0</v>
      </c>
      <c r="AA79" s="752">
        <f>AA25-AA78</f>
        <v>594778.49000000022</v>
      </c>
      <c r="AB79" s="755">
        <f>AB25-AB78</f>
        <v>-907623.99000000011</v>
      </c>
      <c r="AC79" s="1088"/>
      <c r="AD79" s="1168"/>
      <c r="AE79" s="1178"/>
    </row>
    <row r="80" spans="1:31" ht="19.5" thickBot="1" x14ac:dyDescent="0.35">
      <c r="A80" s="1340" t="s">
        <v>167</v>
      </c>
      <c r="B80" s="448"/>
      <c r="C80" s="449"/>
      <c r="D80" s="449">
        <f>C80-B80</f>
        <v>0</v>
      </c>
      <c r="E80" s="253"/>
      <c r="F80" s="781"/>
      <c r="G80" s="792"/>
      <c r="H80" s="451"/>
      <c r="I80" s="449">
        <f>H80-G80</f>
        <v>0</v>
      </c>
      <c r="J80" s="264"/>
      <c r="K80" s="781"/>
      <c r="L80" s="760"/>
      <c r="M80" s="449"/>
      <c r="N80" s="449">
        <f>M80-L80</f>
        <v>0</v>
      </c>
      <c r="O80" s="257"/>
      <c r="P80" s="781"/>
      <c r="Q80" s="792"/>
      <c r="R80" s="451"/>
      <c r="S80" s="449">
        <f>R80-Q80</f>
        <v>0</v>
      </c>
      <c r="T80" s="264"/>
      <c r="U80" s="160"/>
      <c r="V80" s="889">
        <f>B80+G80+L80+Q80</f>
        <v>0</v>
      </c>
      <c r="W80" s="1349">
        <f>C80+H80+M80+R80</f>
        <v>0</v>
      </c>
      <c r="X80" s="1228"/>
      <c r="Y80" s="1088"/>
      <c r="Z80" s="160"/>
      <c r="AA80" s="1069">
        <v>707814</v>
      </c>
      <c r="AB80" s="755"/>
      <c r="AC80" s="1088"/>
      <c r="AD80" s="1168"/>
      <c r="AE80" s="1178"/>
    </row>
    <row r="81" spans="1:31" ht="19.5" thickBot="1" x14ac:dyDescent="0.35">
      <c r="A81" s="1341" t="s">
        <v>168</v>
      </c>
      <c r="B81" s="448">
        <f>B79-B80</f>
        <v>108058.64000000013</v>
      </c>
      <c r="C81" s="448">
        <f t="shared" ref="C81:Z81" si="43">C79-C80</f>
        <v>498052.15999999992</v>
      </c>
      <c r="D81" s="448">
        <f>D79-D80</f>
        <v>389993.51999999996</v>
      </c>
      <c r="E81" s="1160">
        <f>E79-E80</f>
        <v>0</v>
      </c>
      <c r="F81" s="726">
        <f t="shared" si="43"/>
        <v>0</v>
      </c>
      <c r="G81" s="760">
        <f t="shared" si="43"/>
        <v>136636.80000000005</v>
      </c>
      <c r="H81" s="448">
        <f t="shared" si="43"/>
        <v>570354.68000000017</v>
      </c>
      <c r="I81" s="448">
        <f t="shared" si="43"/>
        <v>433717.88</v>
      </c>
      <c r="J81" s="262">
        <f>J79-J80</f>
        <v>0</v>
      </c>
      <c r="K81" s="726">
        <f t="shared" si="43"/>
        <v>0</v>
      </c>
      <c r="L81" s="760">
        <f t="shared" si="43"/>
        <v>489922.40999999992</v>
      </c>
      <c r="M81" s="448">
        <f t="shared" si="43"/>
        <v>603664.89</v>
      </c>
      <c r="N81" s="448">
        <f t="shared" si="43"/>
        <v>113742.48000000001</v>
      </c>
      <c r="O81" s="262">
        <f t="shared" si="43"/>
        <v>0</v>
      </c>
      <c r="P81" s="726">
        <f t="shared" si="43"/>
        <v>0</v>
      </c>
      <c r="Q81" s="760">
        <f t="shared" si="43"/>
        <v>18373.169999999925</v>
      </c>
      <c r="R81" s="448">
        <f t="shared" si="43"/>
        <v>-169669.25</v>
      </c>
      <c r="S81" s="448">
        <f t="shared" si="43"/>
        <v>-188042.42000000022</v>
      </c>
      <c r="T81" s="262">
        <f t="shared" si="43"/>
        <v>0</v>
      </c>
      <c r="U81" s="262">
        <f t="shared" si="43"/>
        <v>0</v>
      </c>
      <c r="V81" s="752">
        <f>V79-V80</f>
        <v>752991.01999999955</v>
      </c>
      <c r="W81" s="755">
        <f t="shared" si="43"/>
        <v>1502402.4800000004</v>
      </c>
      <c r="X81" s="1228">
        <f t="shared" si="43"/>
        <v>749411.45999999985</v>
      </c>
      <c r="Y81" s="1088">
        <f t="shared" si="43"/>
        <v>0</v>
      </c>
      <c r="Z81" s="727">
        <f t="shared" si="43"/>
        <v>0</v>
      </c>
      <c r="AA81" s="752">
        <f>AA79-AA80</f>
        <v>-113035.50999999978</v>
      </c>
      <c r="AB81" s="755">
        <f>AB79-AB80</f>
        <v>-907623.99000000011</v>
      </c>
      <c r="AC81" s="1088">
        <f>AC79-AC80</f>
        <v>0</v>
      </c>
      <c r="AD81" s="1168"/>
      <c r="AE81" s="1178"/>
    </row>
    <row r="82" spans="1:31" ht="19.5" thickBot="1" x14ac:dyDescent="0.35">
      <c r="A82" s="483" t="s">
        <v>104</v>
      </c>
      <c r="B82" s="1346"/>
      <c r="C82" s="1347"/>
      <c r="D82" s="1347">
        <f>B82-C82</f>
        <v>0</v>
      </c>
      <c r="E82" s="1348" t="str">
        <f>IF(ISERROR(D82/B82),"-",D82/B82)</f>
        <v>-</v>
      </c>
      <c r="F82" s="785"/>
      <c r="G82" s="602"/>
      <c r="H82" s="427"/>
      <c r="I82" s="427">
        <f>G82-H82</f>
        <v>0</v>
      </c>
      <c r="J82" s="267" t="str">
        <f>IF(ISERROR(I82/G82),"-",I82/G82)</f>
        <v>-</v>
      </c>
      <c r="K82" s="785"/>
      <c r="L82" s="567"/>
      <c r="M82" s="415"/>
      <c r="N82" s="415">
        <f>L82-M82</f>
        <v>0</v>
      </c>
      <c r="O82" s="266" t="str">
        <f>IF(ISERROR(N82/L82),"-",N82/L82)</f>
        <v>-</v>
      </c>
      <c r="P82" s="785"/>
      <c r="Q82" s="602"/>
      <c r="R82" s="427"/>
      <c r="S82" s="427">
        <f>Q82-R82</f>
        <v>0</v>
      </c>
      <c r="T82" s="267" t="str">
        <f>IF(ISERROR(S82/Q82),"-",S82/Q82)</f>
        <v>-</v>
      </c>
      <c r="U82" s="230"/>
      <c r="V82" s="889">
        <f>B82+G82+L82+Q82</f>
        <v>0</v>
      </c>
      <c r="W82" s="1349">
        <f>C82+H82+M82+R82</f>
        <v>0</v>
      </c>
      <c r="X82" s="567">
        <f>V82-W82</f>
        <v>0</v>
      </c>
      <c r="Y82" s="266" t="str">
        <f>IF(ISERROR(X82/V82),"-",X82/V82)</f>
        <v>-</v>
      </c>
      <c r="Z82" s="230"/>
      <c r="AA82" s="889">
        <f>G82+L82+Q82+V82</f>
        <v>0</v>
      </c>
      <c r="AB82" s="1349">
        <f>AA82-W82</f>
        <v>0</v>
      </c>
      <c r="AC82" s="1328" t="str">
        <f>IF(ISERROR(AB82/AA82),"-",AB82/AA82)</f>
        <v>-</v>
      </c>
      <c r="AD82" s="1164"/>
      <c r="AE82" s="1178"/>
    </row>
    <row r="83" spans="1:31" ht="19.5" thickBot="1" x14ac:dyDescent="0.35">
      <c r="A83" s="1342" t="s">
        <v>105</v>
      </c>
      <c r="B83" s="1229">
        <f>B81-B82</f>
        <v>108058.64000000013</v>
      </c>
      <c r="C83" s="1295">
        <f>C81-C82</f>
        <v>498052.15999999992</v>
      </c>
      <c r="D83" s="1343">
        <f>C83-B83</f>
        <v>389993.51999999979</v>
      </c>
      <c r="E83" s="750">
        <f>IF(ISERROR(D83/B83),"-",D83/B83)</f>
        <v>3.6090915080922663</v>
      </c>
      <c r="F83" s="799"/>
      <c r="G83" s="793">
        <f>G81-G82</f>
        <v>136636.80000000005</v>
      </c>
      <c r="H83" s="454">
        <f>H81-H82</f>
        <v>570354.68000000017</v>
      </c>
      <c r="I83" s="455">
        <f>H83-G83</f>
        <v>433717.88000000012</v>
      </c>
      <c r="J83" s="271">
        <f>IF(ISERROR(I83/G83),"-",I83/G83)</f>
        <v>3.1742391507997842</v>
      </c>
      <c r="K83" s="799"/>
      <c r="L83" s="793">
        <f>L81-L82</f>
        <v>489922.40999999992</v>
      </c>
      <c r="M83" s="454">
        <f>M81-M82</f>
        <v>603664.89</v>
      </c>
      <c r="N83" s="455">
        <f>M83-L83</f>
        <v>113742.4800000001</v>
      </c>
      <c r="O83" s="271">
        <f>IF(ISERROR(N83/L83),"-",N83/L83)</f>
        <v>0.23216427270595791</v>
      </c>
      <c r="P83" s="799"/>
      <c r="Q83" s="793">
        <f>Q81-Q82</f>
        <v>18373.169999999925</v>
      </c>
      <c r="R83" s="454">
        <f>R81-R82</f>
        <v>-169669.25</v>
      </c>
      <c r="S83" s="455">
        <f>R83-Q83</f>
        <v>-188042.41999999993</v>
      </c>
      <c r="T83" s="271">
        <f>IF(ISERROR(S83/Q83),"-",S83/Q83)</f>
        <v>-10.234620373076648</v>
      </c>
      <c r="U83" s="272"/>
      <c r="V83" s="1070">
        <f>V81-V82</f>
        <v>752991.01999999955</v>
      </c>
      <c r="W83" s="1351">
        <f>W81-W82</f>
        <v>1502402.4800000004</v>
      </c>
      <c r="X83" s="793">
        <f>W83-V83</f>
        <v>749411.46000000089</v>
      </c>
      <c r="Y83" s="275">
        <f>IF(ISERROR(X83/V83),"-",X83/V83)</f>
        <v>0.99524621156836812</v>
      </c>
      <c r="Z83" s="272"/>
      <c r="AA83" s="1352">
        <f>AA81-AA82</f>
        <v>-113035.50999999978</v>
      </c>
      <c r="AB83" s="1350">
        <f>AB81-AB82</f>
        <v>-907623.99000000011</v>
      </c>
      <c r="AC83" s="275">
        <f>IF(ISERROR(AB83/AA83),"-",AB83/AA83)</f>
        <v>8.0295474404459437</v>
      </c>
      <c r="AD83" s="1362"/>
      <c r="AE83" s="1186"/>
    </row>
  </sheetData>
  <sheetProtection algorithmName="SHA-512" hashValue="gbhqrMv7FOPWmIS5GXOe4KgsJHzNCHW0CVkFhWGo5aNcBH5WL5LcC/bNhGDLG0NyE2oVEKDwS6bQwE1dGQJm7Q==" saltValue="XCQxSJ78kzjrFLdld60buQ==" spinCount="100000" sheet="1" objects="1" scenarios="1"/>
  <mergeCells count="13"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pageMargins left="0.7" right="0.7" top="0.75" bottom="0.75" header="0.3" footer="0.3"/>
  <pageSetup paperSize="17" scale="42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F72"/>
  <sheetViews>
    <sheetView zoomScale="70" zoomScaleNormal="70" workbookViewId="0">
      <selection activeCell="F43" sqref="F43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44" customWidth="1"/>
    <col min="3" max="3" width="16.85546875" style="44" customWidth="1"/>
    <col min="4" max="4" width="18.140625" style="44" customWidth="1"/>
    <col min="5" max="5" width="17" style="44" customWidth="1"/>
    <col min="6" max="6" width="17.42578125" style="44" customWidth="1"/>
    <col min="7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8.75" customHeight="1" x14ac:dyDescent="0.3">
      <c r="A2" s="47"/>
      <c r="B2" s="43"/>
      <c r="C2" s="43"/>
      <c r="D2" s="43"/>
      <c r="E2" s="43"/>
      <c r="F2" s="43"/>
    </row>
    <row r="3" spans="1:6" s="49" customFormat="1" ht="18.75" customHeight="1" x14ac:dyDescent="0.3">
      <c r="A3" s="1767" t="s">
        <v>170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282"/>
      <c r="C8" s="283"/>
      <c r="D8" s="282"/>
      <c r="E8" s="283"/>
      <c r="F8" s="282"/>
    </row>
    <row r="9" spans="1:6" ht="17.45" customHeight="1" x14ac:dyDescent="0.3">
      <c r="A9" s="284"/>
      <c r="B9" s="53" t="s">
        <v>160</v>
      </c>
      <c r="C9" s="285" t="s">
        <v>161</v>
      </c>
      <c r="D9" s="53" t="s">
        <v>162</v>
      </c>
      <c r="E9" s="285" t="s">
        <v>163</v>
      </c>
      <c r="F9" s="53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289" t="s">
        <v>107</v>
      </c>
      <c r="C11" s="290" t="s">
        <v>107</v>
      </c>
      <c r="D11" s="289" t="s">
        <v>107</v>
      </c>
      <c r="E11" s="290" t="s">
        <v>107</v>
      </c>
      <c r="F11" s="289" t="s">
        <v>107</v>
      </c>
    </row>
    <row r="12" spans="1:6" ht="15" customHeight="1" x14ac:dyDescent="0.3">
      <c r="A12" s="291" t="s">
        <v>4</v>
      </c>
      <c r="B12" s="292"/>
      <c r="C12" s="293"/>
      <c r="D12" s="292"/>
      <c r="E12" s="293"/>
      <c r="F12" s="292"/>
    </row>
    <row r="13" spans="1:6" ht="15" customHeight="1" x14ac:dyDescent="0.3">
      <c r="A13" s="294" t="s">
        <v>5</v>
      </c>
      <c r="B13" s="62"/>
      <c r="C13" s="295"/>
      <c r="D13" s="62"/>
      <c r="E13" s="295"/>
      <c r="F13" s="62"/>
    </row>
    <row r="14" spans="1:6" ht="15" customHeight="1" x14ac:dyDescent="0.3">
      <c r="A14" s="296" t="s">
        <v>6</v>
      </c>
      <c r="B14" s="802">
        <v>1846980.69</v>
      </c>
      <c r="C14" s="802">
        <v>1733781.12</v>
      </c>
      <c r="D14" s="802">
        <v>1773003.95</v>
      </c>
      <c r="E14" s="845">
        <v>2162846.83</v>
      </c>
      <c r="F14" s="802">
        <v>2663640.85</v>
      </c>
    </row>
    <row r="15" spans="1:6" ht="15" customHeight="1" x14ac:dyDescent="0.3">
      <c r="A15" s="297" t="s">
        <v>7</v>
      </c>
      <c r="B15" s="802">
        <v>0</v>
      </c>
      <c r="C15" s="802">
        <v>0</v>
      </c>
      <c r="D15" s="802">
        <v>0</v>
      </c>
      <c r="E15" s="845">
        <v>0</v>
      </c>
      <c r="F15" s="802">
        <v>0</v>
      </c>
    </row>
    <row r="16" spans="1:6" ht="15" customHeight="1" x14ac:dyDescent="0.3">
      <c r="A16" s="297" t="s">
        <v>8</v>
      </c>
      <c r="B16" s="802">
        <v>0</v>
      </c>
      <c r="C16" s="802">
        <v>0</v>
      </c>
      <c r="D16" s="802">
        <v>0</v>
      </c>
      <c r="E16" s="845">
        <v>0</v>
      </c>
      <c r="F16" s="802">
        <v>0</v>
      </c>
    </row>
    <row r="17" spans="1:6" ht="15" customHeight="1" x14ac:dyDescent="0.3">
      <c r="A17" s="297" t="s">
        <v>9</v>
      </c>
      <c r="B17" s="802">
        <v>0</v>
      </c>
      <c r="C17" s="802">
        <v>0</v>
      </c>
      <c r="D17" s="802">
        <v>0</v>
      </c>
      <c r="E17" s="845">
        <v>0</v>
      </c>
      <c r="F17" s="802">
        <v>0</v>
      </c>
    </row>
    <row r="18" spans="1:6" ht="15" customHeight="1" x14ac:dyDescent="0.3">
      <c r="A18" s="297" t="s">
        <v>10</v>
      </c>
      <c r="B18" s="802">
        <v>0</v>
      </c>
      <c r="C18" s="802">
        <v>0</v>
      </c>
      <c r="D18" s="802">
        <v>0</v>
      </c>
      <c r="E18" s="845">
        <v>0</v>
      </c>
      <c r="F18" s="802">
        <v>0</v>
      </c>
    </row>
    <row r="19" spans="1:6" ht="15" customHeight="1" x14ac:dyDescent="0.3">
      <c r="A19" s="298" t="s">
        <v>11</v>
      </c>
      <c r="B19" s="802">
        <v>0</v>
      </c>
      <c r="C19" s="802">
        <v>0</v>
      </c>
      <c r="D19" s="802">
        <v>0</v>
      </c>
      <c r="E19" s="1091">
        <v>0</v>
      </c>
      <c r="F19" s="1090">
        <v>0</v>
      </c>
    </row>
    <row r="20" spans="1:6" ht="15" customHeight="1" x14ac:dyDescent="0.3">
      <c r="A20" s="299" t="s">
        <v>12</v>
      </c>
      <c r="B20" s="846">
        <f>SUM(B14:B19)</f>
        <v>1846980.69</v>
      </c>
      <c r="C20" s="847">
        <f>SUM(C14:C19)</f>
        <v>1733781.12</v>
      </c>
      <c r="D20" s="846">
        <f>SUM(D14:D19)</f>
        <v>1773003.95</v>
      </c>
      <c r="E20" s="847">
        <f>SUM(E14:E19)</f>
        <v>2162846.83</v>
      </c>
      <c r="F20" s="846">
        <f>SUM(F14:F19)</f>
        <v>2663640.85</v>
      </c>
    </row>
    <row r="21" spans="1:6" ht="15" customHeight="1" x14ac:dyDescent="0.3">
      <c r="A21" s="300"/>
      <c r="B21" s="857"/>
      <c r="C21" s="858"/>
      <c r="D21" s="857"/>
      <c r="E21" s="858"/>
      <c r="F21" s="857"/>
    </row>
    <row r="22" spans="1:6" ht="15" customHeight="1" x14ac:dyDescent="0.3">
      <c r="A22" s="301" t="s">
        <v>13</v>
      </c>
      <c r="B22" s="859"/>
      <c r="C22" s="860"/>
      <c r="D22" s="859"/>
      <c r="E22" s="860"/>
      <c r="F22" s="859"/>
    </row>
    <row r="23" spans="1:6" ht="15" customHeight="1" x14ac:dyDescent="0.3">
      <c r="A23" s="297" t="s">
        <v>14</v>
      </c>
      <c r="B23" s="802">
        <v>0</v>
      </c>
      <c r="C23" s="802">
        <v>0</v>
      </c>
      <c r="D23" s="802">
        <v>0</v>
      </c>
      <c r="E23" s="802">
        <v>0</v>
      </c>
      <c r="F23" s="802">
        <v>0</v>
      </c>
    </row>
    <row r="24" spans="1:6" ht="15" customHeight="1" x14ac:dyDescent="0.3">
      <c r="A24" s="297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199648.48</v>
      </c>
      <c r="C26" s="802">
        <v>207363.18</v>
      </c>
      <c r="D26" s="802">
        <v>228255.34</v>
      </c>
      <c r="E26" s="802">
        <v>235180.35</v>
      </c>
      <c r="F26" s="802">
        <v>236060.25</v>
      </c>
    </row>
    <row r="27" spans="1:6" ht="15" customHeight="1" x14ac:dyDescent="0.3">
      <c r="A27" s="297" t="s">
        <v>119</v>
      </c>
      <c r="B27" s="802">
        <v>0</v>
      </c>
      <c r="C27" s="802">
        <v>0</v>
      </c>
      <c r="D27" s="802">
        <v>0</v>
      </c>
      <c r="E27" s="802">
        <v>0</v>
      </c>
      <c r="F27" s="802">
        <v>0</v>
      </c>
    </row>
    <row r="28" spans="1:6" ht="15" customHeight="1" x14ac:dyDescent="0.3">
      <c r="A28" s="297" t="s">
        <v>118</v>
      </c>
      <c r="B28" s="802">
        <v>0</v>
      </c>
      <c r="C28" s="802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802">
        <v>0</v>
      </c>
      <c r="D29" s="802">
        <v>0</v>
      </c>
      <c r="E29" s="802">
        <v>0</v>
      </c>
      <c r="F29" s="1090">
        <v>0</v>
      </c>
    </row>
    <row r="30" spans="1:6" ht="15" customHeight="1" x14ac:dyDescent="0.3">
      <c r="A30" s="299" t="s">
        <v>19</v>
      </c>
      <c r="B30" s="846">
        <f>SUM(B23:B29)</f>
        <v>199648.48</v>
      </c>
      <c r="C30" s="847">
        <f>SUM(C23:C29)</f>
        <v>207363.18</v>
      </c>
      <c r="D30" s="846">
        <f>SUM(D23:D29)</f>
        <v>228255.34</v>
      </c>
      <c r="E30" s="847">
        <f>SUM(E23:E29)</f>
        <v>235180.35</v>
      </c>
      <c r="F30" s="846">
        <f>SUM(F23:F29)</f>
        <v>236060.25</v>
      </c>
    </row>
    <row r="31" spans="1:6" ht="15" customHeight="1" x14ac:dyDescent="0.3">
      <c r="A31" s="300"/>
      <c r="B31" s="857"/>
      <c r="C31" s="858"/>
      <c r="D31" s="857"/>
      <c r="E31" s="858"/>
      <c r="F31" s="857"/>
    </row>
    <row r="32" spans="1:6" ht="15" customHeight="1" x14ac:dyDescent="0.3">
      <c r="A32" s="301" t="s">
        <v>20</v>
      </c>
      <c r="B32" s="862"/>
      <c r="C32" s="863"/>
      <c r="D32" s="862"/>
      <c r="E32" s="863"/>
      <c r="F32" s="862"/>
    </row>
    <row r="33" spans="1:6" ht="15" customHeight="1" x14ac:dyDescent="0.3">
      <c r="A33" s="278" t="s">
        <v>21</v>
      </c>
      <c r="B33" s="802">
        <v>4853688</v>
      </c>
      <c r="C33" s="352">
        <v>4853688</v>
      </c>
      <c r="D33" s="802">
        <v>4853688</v>
      </c>
      <c r="E33" s="802">
        <v>4853688</v>
      </c>
      <c r="F33" s="352">
        <v>4853688</v>
      </c>
    </row>
    <row r="34" spans="1:6" ht="15" customHeight="1" x14ac:dyDescent="0.3">
      <c r="A34" s="278" t="s">
        <v>22</v>
      </c>
      <c r="B34" s="352">
        <v>0</v>
      </c>
      <c r="C34" s="354">
        <v>0</v>
      </c>
      <c r="D34" s="802">
        <v>0</v>
      </c>
      <c r="E34" s="802">
        <v>0</v>
      </c>
      <c r="F34" s="352">
        <v>0</v>
      </c>
    </row>
    <row r="35" spans="1:6" ht="15" customHeight="1" x14ac:dyDescent="0.3">
      <c r="A35" s="278" t="s">
        <v>23</v>
      </c>
      <c r="B35" s="352">
        <v>0</v>
      </c>
      <c r="C35" s="354">
        <v>0</v>
      </c>
      <c r="D35" s="802">
        <v>0</v>
      </c>
      <c r="E35" s="802">
        <v>0</v>
      </c>
      <c r="F35" s="352">
        <v>0</v>
      </c>
    </row>
    <row r="36" spans="1:6" ht="15" customHeight="1" x14ac:dyDescent="0.3">
      <c r="A36" s="278" t="s">
        <v>24</v>
      </c>
      <c r="B36" s="352">
        <v>0</v>
      </c>
      <c r="C36" s="354">
        <v>0</v>
      </c>
      <c r="D36" s="802">
        <v>0</v>
      </c>
      <c r="E36" s="802">
        <v>0</v>
      </c>
      <c r="F36" s="352">
        <v>0</v>
      </c>
    </row>
    <row r="37" spans="1:6" ht="15" customHeight="1" x14ac:dyDescent="0.3">
      <c r="A37" s="278" t="s">
        <v>25</v>
      </c>
      <c r="B37" s="352">
        <v>0</v>
      </c>
      <c r="C37" s="354">
        <v>0</v>
      </c>
      <c r="D37" s="802">
        <v>0</v>
      </c>
      <c r="E37" s="802">
        <v>0</v>
      </c>
      <c r="F37" s="352">
        <v>0</v>
      </c>
    </row>
    <row r="38" spans="1:6" ht="15" customHeight="1" x14ac:dyDescent="0.3">
      <c r="A38" s="279" t="s">
        <v>26</v>
      </c>
      <c r="B38" s="355">
        <v>0</v>
      </c>
      <c r="C38" s="362">
        <v>0</v>
      </c>
      <c r="D38" s="802">
        <v>0</v>
      </c>
      <c r="E38" s="802">
        <v>0</v>
      </c>
      <c r="F38" s="355">
        <v>0</v>
      </c>
    </row>
    <row r="39" spans="1:6" ht="15" customHeight="1" x14ac:dyDescent="0.3">
      <c r="A39" s="299" t="s">
        <v>27</v>
      </c>
      <c r="B39" s="846">
        <f>SUM(B32:B38)</f>
        <v>4853688</v>
      </c>
      <c r="C39" s="847">
        <f>SUM(C32:C38)</f>
        <v>4853688</v>
      </c>
      <c r="D39" s="846">
        <f>SUM(D32:D38)</f>
        <v>4853688</v>
      </c>
      <c r="E39" s="847">
        <f>SUM(E32:E38)</f>
        <v>4853688</v>
      </c>
      <c r="F39" s="846">
        <f>SUM(F32:F38)</f>
        <v>4853688</v>
      </c>
    </row>
    <row r="40" spans="1:6" ht="15" customHeight="1" x14ac:dyDescent="0.3">
      <c r="A40" s="302"/>
      <c r="B40" s="864"/>
      <c r="C40" s="865"/>
      <c r="D40" s="864"/>
      <c r="E40" s="865"/>
      <c r="F40" s="864"/>
    </row>
    <row r="41" spans="1:6" ht="15" customHeight="1" x14ac:dyDescent="0.3">
      <c r="A41" s="294" t="s">
        <v>28</v>
      </c>
      <c r="B41" s="802">
        <v>0</v>
      </c>
      <c r="C41" s="845">
        <v>0</v>
      </c>
      <c r="D41" s="861">
        <v>0</v>
      </c>
      <c r="E41" s="861">
        <v>0</v>
      </c>
      <c r="F41" s="861">
        <v>0</v>
      </c>
    </row>
    <row r="42" spans="1:6" ht="15" customHeight="1" x14ac:dyDescent="0.3">
      <c r="A42" s="303"/>
      <c r="B42" s="866"/>
      <c r="C42" s="867"/>
      <c r="D42" s="866"/>
      <c r="E42" s="867"/>
      <c r="F42" s="866"/>
    </row>
    <row r="43" spans="1:6" ht="15" customHeight="1" x14ac:dyDescent="0.3">
      <c r="A43" s="299" t="s">
        <v>29</v>
      </c>
      <c r="B43" s="846">
        <f>B20+B30+B39+B41</f>
        <v>6900317.1699999999</v>
      </c>
      <c r="C43" s="847">
        <f>C20+C30+C39+C41</f>
        <v>6794832.2999999998</v>
      </c>
      <c r="D43" s="846">
        <f>D20+D30+D39+D41</f>
        <v>6854947.29</v>
      </c>
      <c r="E43" s="847">
        <f>E20+E30+E39+E41</f>
        <v>7251715.1799999997</v>
      </c>
      <c r="F43" s="846">
        <f>F20+F30+F39+F41</f>
        <v>7753389.0999999996</v>
      </c>
    </row>
    <row r="44" spans="1:6" ht="15" customHeight="1" x14ac:dyDescent="0.3">
      <c r="A44" s="304"/>
      <c r="B44" s="868"/>
      <c r="C44" s="869"/>
      <c r="D44" s="868"/>
      <c r="E44" s="869"/>
      <c r="F44" s="868"/>
    </row>
    <row r="45" spans="1:6" ht="15" customHeight="1" x14ac:dyDescent="0.3">
      <c r="A45" s="294" t="s">
        <v>30</v>
      </c>
      <c r="B45" s="862"/>
      <c r="C45" s="863"/>
      <c r="D45" s="862"/>
      <c r="E45" s="863"/>
      <c r="F45" s="862"/>
    </row>
    <row r="46" spans="1:6" ht="15" customHeight="1" x14ac:dyDescent="0.3">
      <c r="A46" s="305"/>
      <c r="B46" s="862"/>
      <c r="C46" s="863"/>
      <c r="D46" s="862"/>
      <c r="E46" s="863"/>
      <c r="F46" s="862"/>
    </row>
    <row r="47" spans="1:6" ht="15" customHeight="1" x14ac:dyDescent="0.3">
      <c r="A47" s="294" t="s">
        <v>31</v>
      </c>
      <c r="B47" s="859"/>
      <c r="C47" s="860"/>
      <c r="D47" s="859"/>
      <c r="E47" s="860"/>
      <c r="F47" s="859"/>
    </row>
    <row r="48" spans="1:6" ht="15" customHeight="1" x14ac:dyDescent="0.3">
      <c r="A48" s="278" t="s">
        <v>32</v>
      </c>
      <c r="B48" s="352">
        <v>0</v>
      </c>
      <c r="C48" s="354">
        <v>0</v>
      </c>
      <c r="D48" s="802">
        <v>0</v>
      </c>
      <c r="E48" s="802">
        <v>0</v>
      </c>
      <c r="F48" s="352">
        <v>0</v>
      </c>
    </row>
    <row r="49" spans="1:6" ht="15" customHeight="1" x14ac:dyDescent="0.3">
      <c r="A49" s="306" t="s">
        <v>50</v>
      </c>
      <c r="B49" s="352">
        <v>0</v>
      </c>
      <c r="C49" s="354">
        <v>0</v>
      </c>
      <c r="D49" s="802">
        <v>0</v>
      </c>
      <c r="E49" s="802">
        <v>0</v>
      </c>
      <c r="F49" s="352">
        <v>0</v>
      </c>
    </row>
    <row r="50" spans="1:6" ht="15" customHeight="1" x14ac:dyDescent="0.3">
      <c r="A50" s="306" t="s">
        <v>164</v>
      </c>
      <c r="B50" s="352">
        <v>0</v>
      </c>
      <c r="C50" s="354">
        <v>0</v>
      </c>
      <c r="D50" s="802">
        <v>0</v>
      </c>
      <c r="E50" s="802">
        <v>0</v>
      </c>
      <c r="F50" s="352">
        <v>0</v>
      </c>
    </row>
    <row r="51" spans="1:6" ht="15" customHeight="1" x14ac:dyDescent="0.3">
      <c r="A51" s="306" t="s">
        <v>109</v>
      </c>
      <c r="B51" s="352">
        <v>0</v>
      </c>
      <c r="C51" s="354">
        <v>0</v>
      </c>
      <c r="D51" s="802">
        <v>0</v>
      </c>
      <c r="E51" s="802">
        <v>0</v>
      </c>
      <c r="F51" s="352">
        <v>0</v>
      </c>
    </row>
    <row r="52" spans="1:6" ht="15" customHeight="1" x14ac:dyDescent="0.3">
      <c r="A52" s="306" t="s">
        <v>33</v>
      </c>
      <c r="B52" s="352">
        <v>0</v>
      </c>
      <c r="C52" s="354">
        <v>0</v>
      </c>
      <c r="D52" s="802">
        <v>0</v>
      </c>
      <c r="E52" s="802">
        <v>0</v>
      </c>
      <c r="F52" s="352">
        <v>0</v>
      </c>
    </row>
    <row r="53" spans="1:6" ht="15" customHeight="1" x14ac:dyDescent="0.3">
      <c r="A53" s="306" t="s">
        <v>34</v>
      </c>
      <c r="B53" s="352">
        <v>0</v>
      </c>
      <c r="C53" s="354">
        <v>0</v>
      </c>
      <c r="D53" s="802">
        <v>0</v>
      </c>
      <c r="E53" s="802">
        <v>0</v>
      </c>
      <c r="F53" s="352">
        <v>0</v>
      </c>
    </row>
    <row r="54" spans="1:6" ht="15" customHeight="1" x14ac:dyDescent="0.3">
      <c r="A54" s="278" t="s">
        <v>35</v>
      </c>
      <c r="B54" s="352">
        <v>0</v>
      </c>
      <c r="C54" s="354">
        <v>0</v>
      </c>
      <c r="D54" s="802">
        <v>0</v>
      </c>
      <c r="E54" s="802">
        <v>0</v>
      </c>
      <c r="F54" s="352">
        <v>0</v>
      </c>
    </row>
    <row r="55" spans="1:6" ht="15" customHeight="1" x14ac:dyDescent="0.3">
      <c r="A55" s="278" t="s">
        <v>36</v>
      </c>
      <c r="B55" s="352">
        <v>0</v>
      </c>
      <c r="C55" s="354">
        <v>0</v>
      </c>
      <c r="D55" s="802">
        <v>0</v>
      </c>
      <c r="E55" s="802">
        <v>0</v>
      </c>
      <c r="F55" s="352">
        <v>0</v>
      </c>
    </row>
    <row r="56" spans="1:6" ht="15" customHeight="1" x14ac:dyDescent="0.3">
      <c r="A56" s="279" t="s">
        <v>37</v>
      </c>
      <c r="B56" s="355">
        <v>0</v>
      </c>
      <c r="C56" s="362">
        <v>0</v>
      </c>
      <c r="D56" s="802">
        <v>0</v>
      </c>
      <c r="E56" s="802">
        <v>0</v>
      </c>
      <c r="F56" s="355">
        <v>0</v>
      </c>
    </row>
    <row r="57" spans="1:6" ht="15" customHeight="1" x14ac:dyDescent="0.3">
      <c r="A57" s="299" t="s">
        <v>38</v>
      </c>
      <c r="B57" s="846">
        <f>SUM(B48:B56)</f>
        <v>0</v>
      </c>
      <c r="C57" s="847">
        <f>SUM(C48:C56)</f>
        <v>0</v>
      </c>
      <c r="D57" s="846">
        <f>SUM(D48:D56)</f>
        <v>0</v>
      </c>
      <c r="E57" s="847">
        <f>SUM(E48:E56)</f>
        <v>0</v>
      </c>
      <c r="F57" s="846">
        <f>SUM(F48:F56)</f>
        <v>0</v>
      </c>
    </row>
    <row r="58" spans="1:6" ht="15" customHeight="1" x14ac:dyDescent="0.3">
      <c r="A58" s="307"/>
      <c r="B58" s="857"/>
      <c r="C58" s="858"/>
      <c r="D58" s="857"/>
      <c r="E58" s="858"/>
      <c r="F58" s="857"/>
    </row>
    <row r="59" spans="1:6" ht="15" customHeight="1" x14ac:dyDescent="0.3">
      <c r="A59" s="294" t="s">
        <v>39</v>
      </c>
      <c r="B59" s="862"/>
      <c r="C59" s="863"/>
      <c r="D59" s="862"/>
      <c r="E59" s="863"/>
      <c r="F59" s="862"/>
    </row>
    <row r="60" spans="1:6" ht="15" customHeight="1" x14ac:dyDescent="0.3">
      <c r="A60" s="278" t="s">
        <v>117</v>
      </c>
      <c r="B60" s="352">
        <v>0</v>
      </c>
      <c r="C60" s="354">
        <v>0</v>
      </c>
      <c r="D60" s="802">
        <v>0</v>
      </c>
      <c r="E60" s="802">
        <v>0</v>
      </c>
      <c r="F60" s="352">
        <v>0</v>
      </c>
    </row>
    <row r="61" spans="1:6" ht="15" customHeight="1" x14ac:dyDescent="0.3">
      <c r="A61" s="278" t="s">
        <v>40</v>
      </c>
      <c r="B61" s="352">
        <v>0</v>
      </c>
      <c r="C61" s="354">
        <v>0</v>
      </c>
      <c r="D61" s="802">
        <v>0</v>
      </c>
      <c r="E61" s="802">
        <v>0</v>
      </c>
      <c r="F61" s="352">
        <v>0</v>
      </c>
    </row>
    <row r="62" spans="1:6" ht="15" customHeight="1" x14ac:dyDescent="0.3">
      <c r="A62" s="280"/>
      <c r="B62" s="866"/>
      <c r="C62" s="867"/>
      <c r="D62" s="866"/>
      <c r="E62" s="867"/>
      <c r="F62" s="866"/>
    </row>
    <row r="63" spans="1:6" ht="15" customHeight="1" x14ac:dyDescent="0.3">
      <c r="A63" s="299" t="s">
        <v>41</v>
      </c>
      <c r="B63" s="846">
        <f>SUM(B60:B62)</f>
        <v>0</v>
      </c>
      <c r="C63" s="847">
        <f>SUM(C60:C62)</f>
        <v>0</v>
      </c>
      <c r="D63" s="846">
        <f>SUM(D60:D62)</f>
        <v>0</v>
      </c>
      <c r="E63" s="847">
        <f>SUM(E60:E62)</f>
        <v>0</v>
      </c>
      <c r="F63" s="846">
        <f>SUM(F60:F62)</f>
        <v>0</v>
      </c>
    </row>
    <row r="64" spans="1:6" ht="15" customHeight="1" x14ac:dyDescent="0.3">
      <c r="A64" s="307"/>
      <c r="B64" s="857"/>
      <c r="C64" s="858"/>
      <c r="D64" s="857"/>
      <c r="E64" s="858"/>
      <c r="F64" s="857"/>
    </row>
    <row r="65" spans="1:6" ht="15" customHeight="1" x14ac:dyDescent="0.3">
      <c r="A65" s="294" t="s">
        <v>42</v>
      </c>
      <c r="B65" s="862"/>
      <c r="C65" s="863"/>
      <c r="D65" s="862"/>
      <c r="E65" s="863"/>
      <c r="F65" s="862"/>
    </row>
    <row r="66" spans="1:6" ht="15" customHeight="1" x14ac:dyDescent="0.3">
      <c r="A66" s="278" t="s">
        <v>43</v>
      </c>
      <c r="B66" s="352">
        <v>0</v>
      </c>
      <c r="C66" s="354">
        <v>0</v>
      </c>
      <c r="D66" s="802">
        <v>0</v>
      </c>
      <c r="E66" s="354">
        <v>0</v>
      </c>
      <c r="F66" s="802">
        <v>0</v>
      </c>
    </row>
    <row r="67" spans="1:6" ht="15" customHeight="1" x14ac:dyDescent="0.3">
      <c r="A67" s="278" t="s">
        <v>44</v>
      </c>
      <c r="B67" s="352">
        <v>0</v>
      </c>
      <c r="C67" s="354">
        <v>0</v>
      </c>
      <c r="D67" s="802">
        <v>0</v>
      </c>
      <c r="E67" s="354">
        <v>0</v>
      </c>
      <c r="F67" s="802">
        <v>0</v>
      </c>
    </row>
    <row r="68" spans="1:6" ht="15" customHeight="1" x14ac:dyDescent="0.3">
      <c r="A68" s="278" t="s">
        <v>45</v>
      </c>
      <c r="B68" s="352">
        <v>0</v>
      </c>
      <c r="C68" s="354">
        <v>0</v>
      </c>
      <c r="D68" s="802">
        <v>0</v>
      </c>
      <c r="E68" s="354">
        <v>0</v>
      </c>
      <c r="F68" s="802">
        <v>0</v>
      </c>
    </row>
    <row r="69" spans="1:6" ht="15" customHeight="1" x14ac:dyDescent="0.3">
      <c r="A69" s="279" t="s">
        <v>46</v>
      </c>
      <c r="B69" s="355">
        <v>6900317.1699999999</v>
      </c>
      <c r="C69" s="355">
        <v>6794832.2999999998</v>
      </c>
      <c r="D69" s="802">
        <v>6854947.29</v>
      </c>
      <c r="E69" s="355">
        <f>SUM(E20,E30,E39)</f>
        <v>7251715.1799999997</v>
      </c>
      <c r="F69" s="802">
        <v>7753389.0999999996</v>
      </c>
    </row>
    <row r="70" spans="1:6" ht="15" customHeight="1" x14ac:dyDescent="0.3">
      <c r="A70" s="299" t="s">
        <v>47</v>
      </c>
      <c r="B70" s="846">
        <f>SUM(B66:B69)</f>
        <v>6900317.1699999999</v>
      </c>
      <c r="C70" s="846">
        <f>SUM(C66:C69)</f>
        <v>6794832.2999999998</v>
      </c>
      <c r="D70" s="846">
        <f>SUM(D66:D69)</f>
        <v>6854947.29</v>
      </c>
      <c r="E70" s="846">
        <f>SUM(E66:E69)</f>
        <v>7251715.1799999997</v>
      </c>
      <c r="F70" s="846">
        <f>SUM(F66:F69)</f>
        <v>7753389.0999999996</v>
      </c>
    </row>
    <row r="71" spans="1:6" ht="15.75" customHeight="1" x14ac:dyDescent="0.3">
      <c r="A71" s="308"/>
      <c r="B71" s="373"/>
      <c r="C71" s="375"/>
      <c r="D71" s="373"/>
      <c r="E71" s="375"/>
      <c r="F71" s="373"/>
    </row>
    <row r="72" spans="1:6" ht="16.5" customHeight="1" thickBot="1" x14ac:dyDescent="0.35">
      <c r="A72" s="309" t="s">
        <v>48</v>
      </c>
      <c r="B72" s="870">
        <f>B70+B63+B57</f>
        <v>6900317.1699999999</v>
      </c>
      <c r="C72" s="871">
        <f>C70+C63+C57</f>
        <v>6794832.2999999998</v>
      </c>
      <c r="D72" s="870">
        <f>D70+D63+D57</f>
        <v>6854947.29</v>
      </c>
      <c r="E72" s="871">
        <f>E70+E63+E57</f>
        <v>7251715.1799999997</v>
      </c>
      <c r="F72" s="870">
        <f>F70+F63+F57</f>
        <v>7753389.0999999996</v>
      </c>
    </row>
  </sheetData>
  <sheetProtection algorithmName="SHA-512" hashValue="WnA0nNnBYnJd0RkTvJSobZonUQiRcFDVfHRuMriPD6LUAXmnhn8XaSUHx1ISoXBUitLKCjtCDT72r5Uty69qiw==" saltValue="UaJAF85CciZpRMBytUTadg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AG83"/>
  <sheetViews>
    <sheetView view="pageBreakPreview" topLeftCell="A4" zoomScale="70" zoomScaleNormal="80" zoomScaleSheetLayoutView="70" workbookViewId="0">
      <pane xSplit="1" ySplit="9" topLeftCell="B13" activePane="bottomRight" state="frozen"/>
      <selection activeCell="A4" sqref="A4"/>
      <selection pane="topRight" activeCell="B4" sqref="B4"/>
      <selection pane="bottomLeft" activeCell="A13" sqref="A13"/>
      <selection pane="bottomRight" activeCell="E18" sqref="E18"/>
    </sheetView>
  </sheetViews>
  <sheetFormatPr defaultRowHeight="18.75" x14ac:dyDescent="0.3"/>
  <cols>
    <col min="1" max="1" width="61.7109375" style="46" customWidth="1"/>
    <col min="2" max="3" width="14.140625" style="44" customWidth="1"/>
    <col min="4" max="4" width="13.140625" style="44" customWidth="1"/>
    <col min="5" max="5" width="11.7109375" style="276" customWidth="1"/>
    <col min="6" max="6" width="1" style="46" customWidth="1"/>
    <col min="7" max="7" width="14.5703125" style="44" customWidth="1"/>
    <col min="8" max="8" width="14.28515625" style="44" customWidth="1"/>
    <col min="9" max="9" width="12.140625" style="44" customWidth="1"/>
    <col min="10" max="10" width="11" style="276" customWidth="1"/>
    <col min="11" max="11" width="1.140625" style="46" customWidth="1"/>
    <col min="12" max="12" width="14" style="44" customWidth="1"/>
    <col min="13" max="13" width="14.140625" style="44" customWidth="1"/>
    <col min="14" max="14" width="12.85546875" style="44" customWidth="1"/>
    <col min="15" max="15" width="10.42578125" style="277" customWidth="1"/>
    <col min="16" max="16" width="1" style="46" customWidth="1"/>
    <col min="17" max="17" width="13.85546875" style="44" customWidth="1"/>
    <col min="18" max="18" width="13.140625" style="44" customWidth="1"/>
    <col min="19" max="19" width="12.85546875" style="44" customWidth="1"/>
    <col min="20" max="20" width="9.85546875" style="277" customWidth="1"/>
    <col min="21" max="21" width="1.28515625" style="46" customWidth="1"/>
    <col min="22" max="22" width="14.28515625" style="44" customWidth="1"/>
    <col min="23" max="23" width="14.140625" style="44" customWidth="1"/>
    <col min="24" max="24" width="13" style="44" customWidth="1"/>
    <col min="25" max="25" width="15.85546875" style="277" customWidth="1"/>
    <col min="26" max="26" width="1" style="46" customWidth="1"/>
    <col min="27" max="27" width="16.28515625" style="44" customWidth="1"/>
    <col min="28" max="28" width="13.7109375" style="44" customWidth="1"/>
    <col min="29" max="29" width="11.570312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873" t="s">
        <v>49</v>
      </c>
      <c r="B1" s="459"/>
      <c r="C1" s="459"/>
      <c r="D1" s="459"/>
      <c r="E1" s="459"/>
      <c r="F1" s="459"/>
      <c r="G1" s="459"/>
      <c r="H1" s="459"/>
      <c r="I1" s="83"/>
      <c r="J1" s="84"/>
      <c r="K1" s="85"/>
      <c r="L1" s="86"/>
      <c r="M1" s="86"/>
      <c r="N1" s="86"/>
      <c r="O1" s="87"/>
      <c r="P1" s="116"/>
      <c r="Q1" s="83"/>
      <c r="R1" s="88"/>
      <c r="S1" s="117"/>
      <c r="T1" s="89"/>
      <c r="U1" s="116"/>
      <c r="V1" s="118"/>
      <c r="W1" s="118"/>
      <c r="X1" s="118"/>
      <c r="Y1" s="119"/>
      <c r="Z1" s="116"/>
      <c r="AA1" s="118"/>
      <c r="AB1" s="118"/>
      <c r="AC1" s="119"/>
      <c r="AD1" s="116"/>
      <c r="AE1" s="120"/>
    </row>
    <row r="2" spans="1:31" x14ac:dyDescent="0.3">
      <c r="A2" s="883"/>
      <c r="B2" s="95"/>
      <c r="C2" s="95"/>
      <c r="D2" s="95"/>
      <c r="E2" s="884"/>
      <c r="F2" s="460"/>
      <c r="G2" s="95"/>
      <c r="H2" s="95"/>
      <c r="I2" s="90"/>
      <c r="J2" s="91"/>
      <c r="K2" s="93"/>
      <c r="L2" s="43"/>
      <c r="M2" s="43"/>
      <c r="N2" s="43"/>
      <c r="O2" s="94"/>
      <c r="P2" s="93"/>
      <c r="Q2" s="90"/>
      <c r="R2" s="95"/>
      <c r="S2" s="122"/>
      <c r="T2" s="96"/>
      <c r="U2" s="93"/>
      <c r="V2" s="123"/>
      <c r="W2" s="123"/>
      <c r="X2" s="123"/>
      <c r="Y2" s="124"/>
      <c r="Z2" s="93"/>
      <c r="AA2" s="123"/>
      <c r="AB2" s="123"/>
      <c r="AC2" s="124"/>
      <c r="AD2" s="93"/>
      <c r="AE2" s="125"/>
    </row>
    <row r="3" spans="1:31" s="49" customFormat="1" x14ac:dyDescent="0.3">
      <c r="A3" s="874" t="s">
        <v>170</v>
      </c>
      <c r="B3" s="875"/>
      <c r="C3" s="875"/>
      <c r="D3" s="875"/>
      <c r="E3" s="875"/>
      <c r="F3" s="875"/>
      <c r="G3" s="875"/>
      <c r="H3" s="875"/>
      <c r="I3" s="97"/>
      <c r="J3" s="98"/>
      <c r="K3" s="99"/>
      <c r="L3" s="100"/>
      <c r="M3" s="100"/>
      <c r="N3" s="100"/>
      <c r="O3" s="101"/>
      <c r="P3" s="126"/>
      <c r="Q3" s="97"/>
      <c r="R3" s="102"/>
      <c r="S3" s="114"/>
      <c r="T3" s="103"/>
      <c r="U3" s="126"/>
      <c r="V3" s="127"/>
      <c r="W3" s="127"/>
      <c r="X3" s="127"/>
      <c r="Y3" s="128"/>
      <c r="Z3" s="126"/>
      <c r="AA3" s="127"/>
      <c r="AB3" s="127"/>
      <c r="AC3" s="128"/>
      <c r="AD3" s="126"/>
      <c r="AE3" s="129"/>
    </row>
    <row r="4" spans="1:31" x14ac:dyDescent="0.3">
      <c r="A4" s="876" t="s">
        <v>51</v>
      </c>
      <c r="B4" s="877"/>
      <c r="C4" s="877"/>
      <c r="D4" s="877"/>
      <c r="E4" s="877"/>
      <c r="F4" s="877"/>
      <c r="G4" s="877"/>
      <c r="H4" s="877"/>
      <c r="I4" s="90"/>
      <c r="J4" s="91"/>
      <c r="K4" s="104"/>
      <c r="L4" s="105"/>
      <c r="M4" s="105"/>
      <c r="N4" s="105"/>
      <c r="O4" s="106"/>
      <c r="P4" s="130"/>
      <c r="Q4" s="107"/>
      <c r="R4" s="108"/>
      <c r="S4" s="122"/>
      <c r="T4" s="109"/>
      <c r="U4" s="130"/>
      <c r="V4" s="123"/>
      <c r="W4" s="123"/>
      <c r="X4" s="123"/>
      <c r="Y4" s="124"/>
      <c r="Z4" s="130"/>
      <c r="AA4" s="123"/>
      <c r="AB4" s="123"/>
      <c r="AC4" s="124"/>
      <c r="AD4" s="130"/>
      <c r="AE4" s="125"/>
    </row>
    <row r="5" spans="1:31" x14ac:dyDescent="0.3">
      <c r="A5" s="876" t="s">
        <v>52</v>
      </c>
      <c r="B5" s="460"/>
      <c r="C5" s="460"/>
      <c r="D5" s="460"/>
      <c r="E5" s="460"/>
      <c r="F5" s="460"/>
      <c r="G5" s="460"/>
      <c r="H5" s="460"/>
      <c r="I5" s="90"/>
      <c r="J5" s="91"/>
      <c r="K5" s="104"/>
      <c r="L5" s="105"/>
      <c r="M5" s="105"/>
      <c r="N5" s="105"/>
      <c r="O5" s="106"/>
      <c r="P5" s="130"/>
      <c r="Q5" s="107"/>
      <c r="R5" s="108"/>
      <c r="S5" s="122"/>
      <c r="T5" s="109"/>
      <c r="U5" s="130"/>
      <c r="V5" s="123"/>
      <c r="W5" s="123"/>
      <c r="X5" s="123"/>
      <c r="Y5" s="124"/>
      <c r="Z5" s="130"/>
      <c r="AA5" s="123"/>
      <c r="AB5" s="123"/>
      <c r="AC5" s="124"/>
      <c r="AD5" s="130"/>
      <c r="AE5" s="125"/>
    </row>
    <row r="6" spans="1:31" s="49" customFormat="1" x14ac:dyDescent="0.3">
      <c r="A6" s="874" t="s">
        <v>191</v>
      </c>
      <c r="B6" s="879"/>
      <c r="C6" s="879"/>
      <c r="D6" s="879"/>
      <c r="E6" s="879"/>
      <c r="F6" s="879"/>
      <c r="G6" s="879"/>
      <c r="H6" s="879"/>
      <c r="I6" s="97"/>
      <c r="J6" s="98"/>
      <c r="K6" s="110"/>
      <c r="L6" s="111"/>
      <c r="M6" s="111"/>
      <c r="N6" s="111"/>
      <c r="O6" s="112"/>
      <c r="P6" s="126"/>
      <c r="Q6" s="113"/>
      <c r="R6" s="114"/>
      <c r="S6" s="114"/>
      <c r="T6" s="115"/>
      <c r="U6" s="126"/>
      <c r="V6" s="127"/>
      <c r="W6" s="127"/>
      <c r="X6" s="127"/>
      <c r="Y6" s="128"/>
      <c r="Z6" s="126"/>
      <c r="AA6" s="100"/>
      <c r="AB6" s="100"/>
      <c r="AC6" s="128"/>
      <c r="AD6" s="126"/>
      <c r="AE6" s="129"/>
    </row>
    <row r="7" spans="1:31" s="49" customFormat="1" x14ac:dyDescent="0.3">
      <c r="A7" s="872" t="s">
        <v>2</v>
      </c>
      <c r="B7" s="462"/>
      <c r="C7" s="462"/>
      <c r="D7" s="462"/>
      <c r="E7" s="462"/>
      <c r="F7" s="462"/>
      <c r="G7" s="462"/>
      <c r="H7" s="462"/>
      <c r="I7" s="97"/>
      <c r="J7" s="98"/>
      <c r="K7" s="110"/>
      <c r="L7" s="111"/>
      <c r="M7" s="111"/>
      <c r="N7" s="111"/>
      <c r="O7" s="112"/>
      <c r="P7" s="126"/>
      <c r="Q7" s="113"/>
      <c r="R7" s="114"/>
      <c r="S7" s="114"/>
      <c r="T7" s="115"/>
      <c r="U7" s="126"/>
      <c r="V7" s="127"/>
      <c r="W7" s="127"/>
      <c r="X7" s="127"/>
      <c r="Y7" s="128"/>
      <c r="Z7" s="126"/>
      <c r="AA7" s="127"/>
      <c r="AB7" s="127"/>
      <c r="AC7" s="128"/>
      <c r="AD7" s="126"/>
      <c r="AE7" s="129"/>
    </row>
    <row r="8" spans="1:31" ht="19.5" thickBot="1" x14ac:dyDescent="0.35">
      <c r="A8" s="467" t="s">
        <v>169</v>
      </c>
      <c r="B8" s="885"/>
      <c r="C8" s="886"/>
      <c r="D8" s="886"/>
      <c r="E8" s="887"/>
      <c r="F8" s="880"/>
      <c r="G8" s="886"/>
      <c r="H8" s="886"/>
      <c r="I8" s="123"/>
      <c r="J8" s="133"/>
      <c r="K8" s="130"/>
      <c r="L8" s="123"/>
      <c r="M8" s="123"/>
      <c r="N8" s="123"/>
      <c r="O8" s="124"/>
      <c r="P8" s="130"/>
      <c r="Q8" s="123"/>
      <c r="R8" s="123"/>
      <c r="S8" s="123"/>
      <c r="T8" s="124"/>
      <c r="U8" s="130"/>
      <c r="V8" s="123"/>
      <c r="W8" s="123"/>
      <c r="X8" s="123"/>
      <c r="Y8" s="124"/>
      <c r="Z8" s="130"/>
      <c r="AA8" s="123"/>
      <c r="AB8" s="123"/>
      <c r="AC8" s="124"/>
      <c r="AD8" s="130"/>
      <c r="AE8" s="125"/>
    </row>
    <row r="9" spans="1:31" x14ac:dyDescent="0.3">
      <c r="A9" s="468"/>
      <c r="B9" s="1720" t="s">
        <v>53</v>
      </c>
      <c r="C9" s="1717"/>
      <c r="D9" s="1718"/>
      <c r="E9" s="1719"/>
      <c r="F9" s="1239"/>
      <c r="G9" s="1720" t="s">
        <v>54</v>
      </c>
      <c r="H9" s="1717"/>
      <c r="I9" s="1717"/>
      <c r="J9" s="1721"/>
      <c r="K9" s="794"/>
      <c r="L9" s="1722" t="s">
        <v>55</v>
      </c>
      <c r="M9" s="1723"/>
      <c r="N9" s="1723"/>
      <c r="O9" s="1724"/>
      <c r="P9" s="1239"/>
      <c r="Q9" s="1725" t="s">
        <v>56</v>
      </c>
      <c r="R9" s="1718"/>
      <c r="S9" s="1718"/>
      <c r="T9" s="1718"/>
      <c r="U9" s="794"/>
      <c r="V9" s="1726" t="s">
        <v>57</v>
      </c>
      <c r="W9" s="1723"/>
      <c r="X9" s="1727"/>
      <c r="Y9" s="1727"/>
      <c r="Z9" s="794"/>
      <c r="AA9" s="1726" t="s">
        <v>190</v>
      </c>
      <c r="AB9" s="1723"/>
      <c r="AC9" s="1723"/>
      <c r="AD9" s="1238"/>
      <c r="AE9" s="1738" t="s">
        <v>58</v>
      </c>
    </row>
    <row r="10" spans="1:31" ht="37.5" x14ac:dyDescent="0.3">
      <c r="A10" s="469" t="s">
        <v>59</v>
      </c>
      <c r="B10" s="1386" t="s">
        <v>60</v>
      </c>
      <c r="C10" s="138" t="s">
        <v>61</v>
      </c>
      <c r="D10" s="1710" t="s">
        <v>62</v>
      </c>
      <c r="E10" s="1711"/>
      <c r="F10" s="139"/>
      <c r="G10" s="1386" t="s">
        <v>60</v>
      </c>
      <c r="H10" s="138" t="s">
        <v>61</v>
      </c>
      <c r="I10" s="1775" t="s">
        <v>62</v>
      </c>
      <c r="J10" s="1713"/>
      <c r="K10" s="795"/>
      <c r="L10" s="995" t="s">
        <v>60</v>
      </c>
      <c r="M10" s="138" t="s">
        <v>61</v>
      </c>
      <c r="N10" s="1712" t="s">
        <v>62</v>
      </c>
      <c r="O10" s="1778"/>
      <c r="P10" s="139"/>
      <c r="Q10" s="140" t="s">
        <v>60</v>
      </c>
      <c r="R10" s="141" t="s">
        <v>61</v>
      </c>
      <c r="S10" s="1714" t="s">
        <v>62</v>
      </c>
      <c r="T10" s="1715"/>
      <c r="U10" s="795"/>
      <c r="V10" s="1410" t="s">
        <v>60</v>
      </c>
      <c r="W10" s="138" t="s">
        <v>61</v>
      </c>
      <c r="X10" s="1710" t="s">
        <v>62</v>
      </c>
      <c r="Y10" s="1715"/>
      <c r="Z10" s="795"/>
      <c r="AA10" s="1418" t="s">
        <v>63</v>
      </c>
      <c r="AB10" s="1712" t="s">
        <v>64</v>
      </c>
      <c r="AC10" s="1774"/>
      <c r="AD10" s="1169"/>
      <c r="AE10" s="1739"/>
    </row>
    <row r="11" spans="1:31" x14ac:dyDescent="0.3">
      <c r="A11" s="1369"/>
      <c r="B11" s="1387" t="s">
        <v>107</v>
      </c>
      <c r="C11" s="1370" t="s">
        <v>107</v>
      </c>
      <c r="D11" s="1371" t="s">
        <v>107</v>
      </c>
      <c r="E11" s="1372" t="s">
        <v>65</v>
      </c>
      <c r="F11" s="1373"/>
      <c r="G11" s="1387" t="s">
        <v>107</v>
      </c>
      <c r="H11" s="1370" t="s">
        <v>107</v>
      </c>
      <c r="I11" s="1371" t="s">
        <v>107</v>
      </c>
      <c r="J11" s="1372" t="s">
        <v>65</v>
      </c>
      <c r="K11" s="1403"/>
      <c r="L11" s="1402" t="s">
        <v>107</v>
      </c>
      <c r="M11" s="1370" t="s">
        <v>107</v>
      </c>
      <c r="N11" s="1374" t="s">
        <v>107</v>
      </c>
      <c r="O11" s="1375" t="s">
        <v>65</v>
      </c>
      <c r="P11" s="1373"/>
      <c r="Q11" s="1376" t="s">
        <v>107</v>
      </c>
      <c r="R11" s="1377" t="s">
        <v>107</v>
      </c>
      <c r="S11" s="1378" t="s">
        <v>107</v>
      </c>
      <c r="T11" s="1407" t="s">
        <v>65</v>
      </c>
      <c r="U11" s="1403"/>
      <c r="V11" s="1371" t="s">
        <v>107</v>
      </c>
      <c r="W11" s="1370" t="s">
        <v>107</v>
      </c>
      <c r="X11" s="1371" t="s">
        <v>107</v>
      </c>
      <c r="Y11" s="1407" t="s">
        <v>65</v>
      </c>
      <c r="Z11" s="1403"/>
      <c r="AA11" s="1371" t="s">
        <v>107</v>
      </c>
      <c r="AB11" s="1374" t="s">
        <v>107</v>
      </c>
      <c r="AC11" s="1407" t="s">
        <v>65</v>
      </c>
      <c r="AD11" s="1443"/>
      <c r="AE11" s="1777"/>
    </row>
    <row r="12" spans="1:31" x14ac:dyDescent="0.3">
      <c r="A12" s="473"/>
      <c r="B12" s="1382"/>
      <c r="C12" s="154"/>
      <c r="D12" s="996"/>
      <c r="E12" s="1028"/>
      <c r="F12" s="156"/>
      <c r="G12" s="1448"/>
      <c r="H12" s="409"/>
      <c r="I12" s="915"/>
      <c r="J12" s="1028"/>
      <c r="K12" s="797"/>
      <c r="L12" s="915"/>
      <c r="M12" s="409"/>
      <c r="N12" s="409"/>
      <c r="O12" s="1368"/>
      <c r="P12" s="156"/>
      <c r="Q12" s="154"/>
      <c r="R12" s="154"/>
      <c r="S12" s="154"/>
      <c r="T12" s="1039"/>
      <c r="U12" s="797"/>
      <c r="V12" s="1394"/>
      <c r="W12" s="154"/>
      <c r="X12" s="996"/>
      <c r="Y12" s="1039"/>
      <c r="Z12" s="797"/>
      <c r="AA12" s="1394"/>
      <c r="AB12" s="155"/>
      <c r="AC12" s="1423"/>
      <c r="AD12" s="1171"/>
      <c r="AE12" s="1444"/>
    </row>
    <row r="13" spans="1:31" x14ac:dyDescent="0.3">
      <c r="A13" s="483" t="s">
        <v>66</v>
      </c>
      <c r="B13" s="1383"/>
      <c r="C13" s="159"/>
      <c r="D13" s="994"/>
      <c r="E13" s="925"/>
      <c r="F13" s="160"/>
      <c r="G13" s="1045"/>
      <c r="H13" s="412"/>
      <c r="I13" s="908"/>
      <c r="J13" s="925"/>
      <c r="K13" s="781"/>
      <c r="L13" s="908"/>
      <c r="M13" s="412"/>
      <c r="N13" s="412"/>
      <c r="O13" s="161"/>
      <c r="P13" s="160"/>
      <c r="Q13" s="159"/>
      <c r="R13" s="994"/>
      <c r="S13" s="159"/>
      <c r="T13" s="765"/>
      <c r="U13" s="781"/>
      <c r="V13" s="43"/>
      <c r="W13" s="159"/>
      <c r="X13" s="994"/>
      <c r="Y13" s="765"/>
      <c r="Z13" s="950"/>
      <c r="AA13" s="43"/>
      <c r="AB13" s="159"/>
      <c r="AC13" s="94"/>
      <c r="AD13" s="1168"/>
      <c r="AE13" s="1178"/>
    </row>
    <row r="14" spans="1:31" x14ac:dyDescent="0.3">
      <c r="A14" s="1335" t="s">
        <v>132</v>
      </c>
      <c r="B14" s="889">
        <v>0</v>
      </c>
      <c r="C14" s="416">
        <v>0</v>
      </c>
      <c r="D14" s="604">
        <f>C14-B14</f>
        <v>0</v>
      </c>
      <c r="E14" s="926" t="str">
        <f t="shared" ref="E14:E25" si="0">IF(ISERROR(D14/B14),"-",D14/B14)</f>
        <v>-</v>
      </c>
      <c r="F14" s="166"/>
      <c r="G14" s="889">
        <v>0</v>
      </c>
      <c r="H14" s="416">
        <v>0</v>
      </c>
      <c r="I14" s="604">
        <f>H14-G14</f>
        <v>0</v>
      </c>
      <c r="J14" s="926" t="str">
        <f t="shared" ref="J14:J25" si="1">IF(ISERROR(I14/G14),"-",I14/G14)</f>
        <v>-</v>
      </c>
      <c r="K14" s="782"/>
      <c r="L14" s="567">
        <v>0</v>
      </c>
      <c r="M14" s="415">
        <v>0</v>
      </c>
      <c r="N14" s="416">
        <f>M14-L14</f>
        <v>0</v>
      </c>
      <c r="O14" s="167" t="str">
        <f t="shared" ref="O14:O25" si="2">IF(ISERROR(N14/L14),"-",N14/L14)</f>
        <v>-</v>
      </c>
      <c r="P14" s="166"/>
      <c r="Q14" s="417">
        <v>0</v>
      </c>
      <c r="R14" s="567">
        <v>0</v>
      </c>
      <c r="S14" s="416">
        <f>R14-Q14</f>
        <v>0</v>
      </c>
      <c r="T14" s="766" t="str">
        <f t="shared" ref="T14:T29" si="3">IF(ISERROR(S14/Q14),"-",S14/Q14)</f>
        <v>-</v>
      </c>
      <c r="U14" s="782"/>
      <c r="V14" s="397">
        <f t="shared" ref="V14:W18" si="4">B14+G14+L14+Q14</f>
        <v>0</v>
      </c>
      <c r="W14" s="416">
        <f t="shared" si="4"/>
        <v>0</v>
      </c>
      <c r="X14" s="604">
        <f>W14-V14</f>
        <v>0</v>
      </c>
      <c r="Y14" s="766" t="str">
        <f t="shared" ref="Y14:Y25" si="5">IF(ISERROR(X14/V14),"-",X14/V14)</f>
        <v>-</v>
      </c>
      <c r="Z14" s="951"/>
      <c r="AA14" s="397">
        <v>0</v>
      </c>
      <c r="AB14" s="416">
        <f t="shared" ref="AB14:AB24" si="6">AA14-W14</f>
        <v>0</v>
      </c>
      <c r="AC14" s="1313" t="str">
        <f t="shared" ref="AC14:AC25" si="7">IF(ISERROR(AB14/AA14),"-",AB14/AA14)</f>
        <v>-</v>
      </c>
      <c r="AD14" s="1162"/>
      <c r="AE14" s="1178"/>
    </row>
    <row r="15" spans="1:31" x14ac:dyDescent="0.3">
      <c r="A15" s="1096" t="s">
        <v>111</v>
      </c>
      <c r="B15" s="889">
        <v>550</v>
      </c>
      <c r="C15" s="416">
        <v>438.88</v>
      </c>
      <c r="D15" s="604">
        <f t="shared" ref="D15:D24" si="8">C15-B15</f>
        <v>-111.12</v>
      </c>
      <c r="E15" s="926">
        <f t="shared" si="0"/>
        <v>-0.20203636363636365</v>
      </c>
      <c r="F15" s="166"/>
      <c r="G15" s="889">
        <v>550</v>
      </c>
      <c r="H15" s="416">
        <v>376.35</v>
      </c>
      <c r="I15" s="604">
        <f t="shared" ref="I15:I24" si="9">H15-G15</f>
        <v>-173.64999999999998</v>
      </c>
      <c r="J15" s="926">
        <f>IF(ISERROR(I15/G15),"-",I15/G15)</f>
        <v>-0.31572727272727269</v>
      </c>
      <c r="K15" s="782"/>
      <c r="L15" s="567">
        <v>550</v>
      </c>
      <c r="M15" s="415">
        <v>913.99</v>
      </c>
      <c r="N15" s="416">
        <f t="shared" ref="N15:N24" si="10">M15-L15</f>
        <v>363.99</v>
      </c>
      <c r="O15" s="167">
        <f t="shared" si="2"/>
        <v>0.66180000000000005</v>
      </c>
      <c r="P15" s="166"/>
      <c r="Q15" s="417">
        <v>550</v>
      </c>
      <c r="R15" s="567">
        <v>1266.8399999999999</v>
      </c>
      <c r="S15" s="416">
        <f t="shared" ref="S15:S24" si="11">R15-Q15</f>
        <v>716.83999999999992</v>
      </c>
      <c r="T15" s="766">
        <f t="shared" si="3"/>
        <v>1.3033454545454544</v>
      </c>
      <c r="U15" s="782"/>
      <c r="V15" s="397">
        <f t="shared" si="4"/>
        <v>2200</v>
      </c>
      <c r="W15" s="416">
        <f t="shared" si="4"/>
        <v>2996.06</v>
      </c>
      <c r="X15" s="604">
        <f t="shared" ref="X15:X24" si="12">W15-V15</f>
        <v>796.06</v>
      </c>
      <c r="Y15" s="766">
        <f t="shared" si="5"/>
        <v>0.36184545454545453</v>
      </c>
      <c r="Z15" s="951"/>
      <c r="AA15" s="397">
        <v>2200</v>
      </c>
      <c r="AB15" s="416">
        <f t="shared" si="6"/>
        <v>-796.06</v>
      </c>
      <c r="AC15" s="1313">
        <f t="shared" si="7"/>
        <v>-0.36184545454545453</v>
      </c>
      <c r="AD15" s="1162"/>
      <c r="AE15" s="1179"/>
    </row>
    <row r="16" spans="1:31" x14ac:dyDescent="0.3">
      <c r="A16" s="1096" t="s">
        <v>69</v>
      </c>
      <c r="B16" s="889">
        <v>0</v>
      </c>
      <c r="C16" s="416">
        <v>174.33</v>
      </c>
      <c r="D16" s="604">
        <f t="shared" si="8"/>
        <v>174.33</v>
      </c>
      <c r="E16" s="926" t="str">
        <f t="shared" si="0"/>
        <v>-</v>
      </c>
      <c r="F16" s="171"/>
      <c r="G16" s="889">
        <v>0</v>
      </c>
      <c r="H16" s="416">
        <v>193.04</v>
      </c>
      <c r="I16" s="604">
        <f t="shared" si="9"/>
        <v>193.04</v>
      </c>
      <c r="J16" s="926" t="str">
        <f t="shared" si="1"/>
        <v>-</v>
      </c>
      <c r="K16" s="783"/>
      <c r="L16" s="567">
        <v>0</v>
      </c>
      <c r="M16" s="415">
        <v>0</v>
      </c>
      <c r="N16" s="416">
        <f t="shared" si="10"/>
        <v>0</v>
      </c>
      <c r="O16" s="167" t="str">
        <f t="shared" si="2"/>
        <v>-</v>
      </c>
      <c r="P16" s="171"/>
      <c r="Q16" s="417">
        <v>0</v>
      </c>
      <c r="R16" s="567">
        <v>207.85</v>
      </c>
      <c r="S16" s="416">
        <f t="shared" si="11"/>
        <v>207.85</v>
      </c>
      <c r="T16" s="766" t="str">
        <f t="shared" si="3"/>
        <v>-</v>
      </c>
      <c r="U16" s="783"/>
      <c r="V16" s="397">
        <f>B16+G16+L16+Q16</f>
        <v>0</v>
      </c>
      <c r="W16" s="416">
        <f t="shared" si="4"/>
        <v>575.22</v>
      </c>
      <c r="X16" s="604">
        <f t="shared" si="12"/>
        <v>575.22</v>
      </c>
      <c r="Y16" s="766" t="str">
        <f t="shared" si="5"/>
        <v>-</v>
      </c>
      <c r="Z16" s="951"/>
      <c r="AA16" s="397">
        <v>0</v>
      </c>
      <c r="AB16" s="416">
        <f t="shared" si="6"/>
        <v>-575.22</v>
      </c>
      <c r="AC16" s="1313" t="str">
        <f t="shared" si="7"/>
        <v>-</v>
      </c>
      <c r="AD16" s="1163"/>
      <c r="AE16" s="1178"/>
    </row>
    <row r="17" spans="1:33" x14ac:dyDescent="0.3">
      <c r="A17" s="1096" t="s">
        <v>68</v>
      </c>
      <c r="B17" s="889">
        <v>6148.5</v>
      </c>
      <c r="C17" s="416">
        <v>6588.91</v>
      </c>
      <c r="D17" s="604">
        <f t="shared" si="8"/>
        <v>440.40999999999985</v>
      </c>
      <c r="E17" s="926">
        <f>IF(ISERROR(D17/B17),"-",D17/B17)</f>
        <v>7.1628852565666395E-2</v>
      </c>
      <c r="F17" s="166"/>
      <c r="G17" s="889">
        <v>6148.5</v>
      </c>
      <c r="H17" s="416">
        <v>6588.91</v>
      </c>
      <c r="I17" s="604">
        <f t="shared" si="9"/>
        <v>440.40999999999985</v>
      </c>
      <c r="J17" s="926">
        <f t="shared" si="1"/>
        <v>7.1628852565666395E-2</v>
      </c>
      <c r="K17" s="782"/>
      <c r="L17" s="567">
        <v>6148.5</v>
      </c>
      <c r="M17" s="415">
        <v>0</v>
      </c>
      <c r="N17" s="416">
        <f t="shared" si="10"/>
        <v>-6148.5</v>
      </c>
      <c r="O17" s="167">
        <f t="shared" si="2"/>
        <v>-1</v>
      </c>
      <c r="P17" s="166"/>
      <c r="Q17" s="417">
        <v>6148.5</v>
      </c>
      <c r="R17" s="567">
        <v>6786.58</v>
      </c>
      <c r="S17" s="416">
        <f t="shared" si="11"/>
        <v>638.07999999999993</v>
      </c>
      <c r="T17" s="766">
        <f t="shared" si="3"/>
        <v>0.10377815727413189</v>
      </c>
      <c r="U17" s="782"/>
      <c r="V17" s="397">
        <f t="shared" si="4"/>
        <v>24594</v>
      </c>
      <c r="W17" s="416">
        <f t="shared" si="4"/>
        <v>19964.400000000001</v>
      </c>
      <c r="X17" s="604">
        <f t="shared" si="12"/>
        <v>-4629.5999999999985</v>
      </c>
      <c r="Y17" s="766">
        <f t="shared" si="5"/>
        <v>-0.18824103439863377</v>
      </c>
      <c r="Z17" s="951"/>
      <c r="AA17" s="397">
        <v>24738</v>
      </c>
      <c r="AB17" s="416">
        <f t="shared" si="6"/>
        <v>4773.5999999999985</v>
      </c>
      <c r="AC17" s="1313">
        <f t="shared" si="7"/>
        <v>0.19296628668445301</v>
      </c>
      <c r="AD17" s="1162"/>
      <c r="AE17" s="1178"/>
    </row>
    <row r="18" spans="1:33" x14ac:dyDescent="0.3">
      <c r="A18" s="1096" t="s">
        <v>71</v>
      </c>
      <c r="B18" s="889">
        <v>7500</v>
      </c>
      <c r="C18" s="416">
        <v>10043.120000000001</v>
      </c>
      <c r="D18" s="604">
        <f t="shared" si="8"/>
        <v>2543.1200000000008</v>
      </c>
      <c r="E18" s="926">
        <f t="shared" si="0"/>
        <v>0.33908266666666675</v>
      </c>
      <c r="F18" s="166"/>
      <c r="G18" s="889">
        <v>7500</v>
      </c>
      <c r="H18" s="416">
        <v>35686.51</v>
      </c>
      <c r="I18" s="604">
        <f t="shared" si="9"/>
        <v>28186.510000000002</v>
      </c>
      <c r="J18" s="926">
        <f t="shared" si="1"/>
        <v>3.7582013333333335</v>
      </c>
      <c r="K18" s="782"/>
      <c r="L18" s="567">
        <v>7500</v>
      </c>
      <c r="M18" s="415">
        <v>8306.48</v>
      </c>
      <c r="N18" s="416">
        <f t="shared" si="10"/>
        <v>806.47999999999956</v>
      </c>
      <c r="O18" s="167">
        <f t="shared" si="2"/>
        <v>0.10753066666666661</v>
      </c>
      <c r="P18" s="166"/>
      <c r="Q18" s="417">
        <v>7500</v>
      </c>
      <c r="R18" s="567">
        <v>5726.54</v>
      </c>
      <c r="S18" s="416">
        <f t="shared" si="11"/>
        <v>-1773.46</v>
      </c>
      <c r="T18" s="766">
        <f t="shared" si="3"/>
        <v>-0.23646133333333333</v>
      </c>
      <c r="U18" s="782"/>
      <c r="V18" s="397">
        <f t="shared" si="4"/>
        <v>30000</v>
      </c>
      <c r="W18" s="416">
        <f t="shared" si="4"/>
        <v>59762.65</v>
      </c>
      <c r="X18" s="604">
        <f t="shared" si="12"/>
        <v>29762.65</v>
      </c>
      <c r="Y18" s="766">
        <f t="shared" si="5"/>
        <v>0.99208833333333335</v>
      </c>
      <c r="Z18" s="951"/>
      <c r="AA18" s="397">
        <v>30000</v>
      </c>
      <c r="AB18" s="416">
        <f>AA18-W18</f>
        <v>-29762.65</v>
      </c>
      <c r="AC18" s="1313">
        <f t="shared" si="7"/>
        <v>-0.99208833333333335</v>
      </c>
      <c r="AD18" s="1162"/>
      <c r="AE18" s="1178"/>
    </row>
    <row r="19" spans="1:33" x14ac:dyDescent="0.3">
      <c r="A19" s="476" t="s">
        <v>188</v>
      </c>
      <c r="B19" s="889">
        <v>0</v>
      </c>
      <c r="C19" s="416">
        <v>0</v>
      </c>
      <c r="D19" s="604">
        <f t="shared" si="8"/>
        <v>0</v>
      </c>
      <c r="E19" s="926" t="str">
        <f t="shared" si="0"/>
        <v>-</v>
      </c>
      <c r="F19" s="166"/>
      <c r="G19" s="889">
        <v>0</v>
      </c>
      <c r="H19" s="416">
        <v>0</v>
      </c>
      <c r="I19" s="604">
        <f t="shared" si="9"/>
        <v>0</v>
      </c>
      <c r="J19" s="926" t="str">
        <f t="shared" si="1"/>
        <v>-</v>
      </c>
      <c r="K19" s="782"/>
      <c r="L19" s="567">
        <v>0</v>
      </c>
      <c r="M19" s="567">
        <v>0</v>
      </c>
      <c r="N19" s="416">
        <f t="shared" si="10"/>
        <v>0</v>
      </c>
      <c r="O19" s="167" t="str">
        <f t="shared" si="2"/>
        <v>-</v>
      </c>
      <c r="P19" s="166"/>
      <c r="Q19" s="417">
        <v>0</v>
      </c>
      <c r="R19" s="567">
        <v>0</v>
      </c>
      <c r="S19" s="416">
        <f t="shared" si="11"/>
        <v>0</v>
      </c>
      <c r="T19" s="766" t="str">
        <f t="shared" si="3"/>
        <v>-</v>
      </c>
      <c r="U19" s="782"/>
      <c r="V19" s="397">
        <f t="shared" ref="V19:W24" si="13">B19+G19+L19+Q19</f>
        <v>0</v>
      </c>
      <c r="W19" s="416">
        <f t="shared" si="13"/>
        <v>0</v>
      </c>
      <c r="X19" s="604">
        <f t="shared" si="12"/>
        <v>0</v>
      </c>
      <c r="Y19" s="766" t="str">
        <f t="shared" si="5"/>
        <v>-</v>
      </c>
      <c r="Z19" s="951"/>
      <c r="AA19" s="397">
        <v>0</v>
      </c>
      <c r="AB19" s="416">
        <f t="shared" si="6"/>
        <v>0</v>
      </c>
      <c r="AC19" s="1313" t="str">
        <f t="shared" si="7"/>
        <v>-</v>
      </c>
      <c r="AD19" s="1162"/>
      <c r="AE19" s="1178"/>
    </row>
    <row r="20" spans="1:33" x14ac:dyDescent="0.3">
      <c r="A20" s="1260" t="s">
        <v>67</v>
      </c>
      <c r="B20" s="889">
        <v>0</v>
      </c>
      <c r="C20" s="416">
        <v>0</v>
      </c>
      <c r="D20" s="604">
        <f t="shared" si="8"/>
        <v>0</v>
      </c>
      <c r="E20" s="926" t="str">
        <f t="shared" si="0"/>
        <v>-</v>
      </c>
      <c r="F20" s="166"/>
      <c r="G20" s="889">
        <v>0</v>
      </c>
      <c r="H20" s="416">
        <v>0</v>
      </c>
      <c r="I20" s="604">
        <f t="shared" si="9"/>
        <v>0</v>
      </c>
      <c r="J20" s="926" t="str">
        <f t="shared" si="1"/>
        <v>-</v>
      </c>
      <c r="K20" s="782"/>
      <c r="L20" s="567">
        <v>0</v>
      </c>
      <c r="M20" s="567">
        <v>0</v>
      </c>
      <c r="N20" s="416">
        <f t="shared" si="10"/>
        <v>0</v>
      </c>
      <c r="O20" s="167" t="str">
        <f t="shared" si="2"/>
        <v>-</v>
      </c>
      <c r="P20" s="166"/>
      <c r="Q20" s="417">
        <v>0</v>
      </c>
      <c r="R20" s="567">
        <v>0</v>
      </c>
      <c r="S20" s="416">
        <f t="shared" si="11"/>
        <v>0</v>
      </c>
      <c r="T20" s="766" t="str">
        <f t="shared" si="3"/>
        <v>-</v>
      </c>
      <c r="U20" s="782"/>
      <c r="V20" s="397">
        <f t="shared" si="13"/>
        <v>0</v>
      </c>
      <c r="W20" s="416">
        <f t="shared" si="13"/>
        <v>0</v>
      </c>
      <c r="X20" s="604">
        <f t="shared" si="12"/>
        <v>0</v>
      </c>
      <c r="Y20" s="766" t="str">
        <f t="shared" si="5"/>
        <v>-</v>
      </c>
      <c r="Z20" s="951"/>
      <c r="AA20" s="397">
        <v>0</v>
      </c>
      <c r="AB20" s="416">
        <f t="shared" si="6"/>
        <v>0</v>
      </c>
      <c r="AC20" s="1313" t="str">
        <f t="shared" si="7"/>
        <v>-</v>
      </c>
      <c r="AD20" s="1162"/>
      <c r="AE20" s="1178"/>
    </row>
    <row r="21" spans="1:33" x14ac:dyDescent="0.3">
      <c r="A21" s="1106" t="s">
        <v>112</v>
      </c>
      <c r="B21" s="889">
        <v>90000</v>
      </c>
      <c r="C21" s="416">
        <v>90000</v>
      </c>
      <c r="D21" s="604">
        <f t="shared" si="8"/>
        <v>0</v>
      </c>
      <c r="E21" s="926">
        <f t="shared" si="0"/>
        <v>0</v>
      </c>
      <c r="F21" s="166"/>
      <c r="G21" s="889">
        <v>90000</v>
      </c>
      <c r="H21" s="416">
        <v>90000</v>
      </c>
      <c r="I21" s="604">
        <f t="shared" si="9"/>
        <v>0</v>
      </c>
      <c r="J21" s="926">
        <f t="shared" si="1"/>
        <v>0</v>
      </c>
      <c r="K21" s="782"/>
      <c r="L21" s="567">
        <v>90000</v>
      </c>
      <c r="M21" s="415">
        <v>90000</v>
      </c>
      <c r="N21" s="416">
        <f t="shared" si="10"/>
        <v>0</v>
      </c>
      <c r="O21" s="167">
        <f t="shared" si="2"/>
        <v>0</v>
      </c>
      <c r="P21" s="166"/>
      <c r="Q21" s="417">
        <v>90000</v>
      </c>
      <c r="R21" s="567">
        <v>149920.76999999999</v>
      </c>
      <c r="S21" s="416">
        <f t="shared" si="11"/>
        <v>59920.76999999999</v>
      </c>
      <c r="T21" s="766">
        <f t="shared" si="3"/>
        <v>0.66578633333333326</v>
      </c>
      <c r="U21" s="782"/>
      <c r="V21" s="397">
        <f t="shared" si="13"/>
        <v>360000</v>
      </c>
      <c r="W21" s="416">
        <f t="shared" si="13"/>
        <v>419920.77</v>
      </c>
      <c r="X21" s="604">
        <f t="shared" si="12"/>
        <v>59920.770000000019</v>
      </c>
      <c r="Y21" s="766">
        <f t="shared" si="5"/>
        <v>0.1664465833333334</v>
      </c>
      <c r="Z21" s="951"/>
      <c r="AA21" s="397">
        <v>360000</v>
      </c>
      <c r="AB21" s="416">
        <f t="shared" si="6"/>
        <v>-59920.770000000019</v>
      </c>
      <c r="AC21" s="1313">
        <f t="shared" si="7"/>
        <v>-0.1664465833333334</v>
      </c>
      <c r="AD21" s="1162"/>
      <c r="AE21" s="1179"/>
      <c r="AG21" s="173"/>
    </row>
    <row r="22" spans="1:33" x14ac:dyDescent="0.3">
      <c r="A22" s="1096" t="s">
        <v>70</v>
      </c>
      <c r="B22" s="889">
        <v>325000</v>
      </c>
      <c r="C22" s="416">
        <v>302510.90999999997</v>
      </c>
      <c r="D22" s="604">
        <f t="shared" si="8"/>
        <v>-22489.090000000026</v>
      </c>
      <c r="E22" s="926">
        <f t="shared" si="0"/>
        <v>-6.9197200000000084E-2</v>
      </c>
      <c r="F22" s="166"/>
      <c r="G22" s="889">
        <v>325000</v>
      </c>
      <c r="H22" s="416">
        <v>540074.30000000005</v>
      </c>
      <c r="I22" s="604">
        <f t="shared" si="9"/>
        <v>215074.30000000005</v>
      </c>
      <c r="J22" s="926">
        <f t="shared" si="1"/>
        <v>0.66176707692307701</v>
      </c>
      <c r="K22" s="782"/>
      <c r="L22" s="567">
        <v>325000</v>
      </c>
      <c r="M22" s="415">
        <v>712612.6</v>
      </c>
      <c r="N22" s="416">
        <f t="shared" si="10"/>
        <v>387612.6</v>
      </c>
      <c r="O22" s="167">
        <f t="shared" si="2"/>
        <v>1.1926541538461537</v>
      </c>
      <c r="P22" s="166"/>
      <c r="Q22" s="417">
        <v>325000</v>
      </c>
      <c r="R22" s="567">
        <v>921766.09</v>
      </c>
      <c r="S22" s="416">
        <f t="shared" si="11"/>
        <v>596766.09</v>
      </c>
      <c r="T22" s="766">
        <f t="shared" si="3"/>
        <v>1.8362033538461537</v>
      </c>
      <c r="U22" s="782"/>
      <c r="V22" s="397">
        <f>B22+G22+L22+Q22</f>
        <v>1300000</v>
      </c>
      <c r="W22" s="416">
        <f t="shared" si="13"/>
        <v>2476963.9</v>
      </c>
      <c r="X22" s="604">
        <f t="shared" si="12"/>
        <v>1176963.8999999999</v>
      </c>
      <c r="Y22" s="766">
        <f t="shared" si="5"/>
        <v>0.90535684615384604</v>
      </c>
      <c r="Z22" s="951"/>
      <c r="AA22" s="397">
        <v>1300000</v>
      </c>
      <c r="AB22" s="416">
        <f t="shared" si="6"/>
        <v>-1176963.8999999999</v>
      </c>
      <c r="AC22" s="1313">
        <f t="shared" si="7"/>
        <v>-0.90535684615384604</v>
      </c>
      <c r="AD22" s="1162"/>
      <c r="AE22" s="1178"/>
    </row>
    <row r="23" spans="1:33" x14ac:dyDescent="0.3">
      <c r="A23" s="1096" t="s">
        <v>72</v>
      </c>
      <c r="B23" s="889">
        <v>0</v>
      </c>
      <c r="C23" s="416">
        <v>0</v>
      </c>
      <c r="D23" s="604">
        <f t="shared" si="8"/>
        <v>0</v>
      </c>
      <c r="E23" s="926" t="str">
        <f t="shared" si="0"/>
        <v>-</v>
      </c>
      <c r="F23" s="166"/>
      <c r="G23" s="889">
        <v>0</v>
      </c>
      <c r="H23" s="416">
        <v>0</v>
      </c>
      <c r="I23" s="604">
        <f t="shared" si="9"/>
        <v>0</v>
      </c>
      <c r="J23" s="926" t="str">
        <f t="shared" si="1"/>
        <v>-</v>
      </c>
      <c r="K23" s="782"/>
      <c r="L23" s="567">
        <v>0</v>
      </c>
      <c r="M23" s="567">
        <v>0</v>
      </c>
      <c r="N23" s="416">
        <f t="shared" si="10"/>
        <v>0</v>
      </c>
      <c r="O23" s="167" t="str">
        <f t="shared" si="2"/>
        <v>-</v>
      </c>
      <c r="P23" s="166"/>
      <c r="Q23" s="417">
        <v>0</v>
      </c>
      <c r="R23" s="567">
        <v>0</v>
      </c>
      <c r="S23" s="416">
        <f t="shared" si="11"/>
        <v>0</v>
      </c>
      <c r="T23" s="766" t="str">
        <f t="shared" si="3"/>
        <v>-</v>
      </c>
      <c r="U23" s="924"/>
      <c r="V23" s="397">
        <f t="shared" si="13"/>
        <v>0</v>
      </c>
      <c r="W23" s="416">
        <f t="shared" si="13"/>
        <v>0</v>
      </c>
      <c r="X23" s="604">
        <f t="shared" si="12"/>
        <v>0</v>
      </c>
      <c r="Y23" s="766" t="str">
        <f t="shared" si="5"/>
        <v>-</v>
      </c>
      <c r="Z23" s="951"/>
      <c r="AA23" s="397">
        <v>0</v>
      </c>
      <c r="AB23" s="416">
        <f t="shared" si="6"/>
        <v>0</v>
      </c>
      <c r="AC23" s="1313" t="str">
        <f t="shared" si="7"/>
        <v>-</v>
      </c>
      <c r="AD23" s="1162"/>
      <c r="AE23" s="1181"/>
    </row>
    <row r="24" spans="1:33" x14ac:dyDescent="0.3">
      <c r="A24" s="1096" t="s">
        <v>131</v>
      </c>
      <c r="B24" s="889">
        <v>0</v>
      </c>
      <c r="C24" s="416">
        <v>0</v>
      </c>
      <c r="D24" s="604">
        <f t="shared" si="8"/>
        <v>0</v>
      </c>
      <c r="E24" s="926" t="str">
        <f t="shared" si="0"/>
        <v>-</v>
      </c>
      <c r="F24" s="166"/>
      <c r="G24" s="889">
        <v>0</v>
      </c>
      <c r="H24" s="416">
        <v>0</v>
      </c>
      <c r="I24" s="604">
        <f t="shared" si="9"/>
        <v>0</v>
      </c>
      <c r="J24" s="926" t="str">
        <f t="shared" si="1"/>
        <v>-</v>
      </c>
      <c r="K24" s="782"/>
      <c r="L24" s="567">
        <v>0</v>
      </c>
      <c r="M24" s="567">
        <v>0</v>
      </c>
      <c r="N24" s="416">
        <f t="shared" si="10"/>
        <v>0</v>
      </c>
      <c r="O24" s="167" t="str">
        <f t="shared" si="2"/>
        <v>-</v>
      </c>
      <c r="P24" s="166"/>
      <c r="Q24" s="417">
        <v>0</v>
      </c>
      <c r="R24" s="567">
        <v>0</v>
      </c>
      <c r="S24" s="416">
        <f t="shared" si="11"/>
        <v>0</v>
      </c>
      <c r="T24" s="766" t="str">
        <f t="shared" si="3"/>
        <v>-</v>
      </c>
      <c r="U24" s="782"/>
      <c r="V24" s="397">
        <f t="shared" si="13"/>
        <v>0</v>
      </c>
      <c r="W24" s="416">
        <f t="shared" si="13"/>
        <v>0</v>
      </c>
      <c r="X24" s="604">
        <f t="shared" si="12"/>
        <v>0</v>
      </c>
      <c r="Y24" s="766" t="str">
        <f t="shared" si="5"/>
        <v>-</v>
      </c>
      <c r="Z24" s="951"/>
      <c r="AA24" s="397">
        <v>0</v>
      </c>
      <c r="AB24" s="416">
        <f t="shared" si="6"/>
        <v>0</v>
      </c>
      <c r="AC24" s="1313" t="str">
        <f t="shared" si="7"/>
        <v>-</v>
      </c>
      <c r="AD24" s="1162"/>
      <c r="AE24" s="1445"/>
    </row>
    <row r="25" spans="1:33" x14ac:dyDescent="0.3">
      <c r="A25" s="1438" t="s">
        <v>73</v>
      </c>
      <c r="B25" s="1384">
        <f>SUM(B14:B24)</f>
        <v>429198.5</v>
      </c>
      <c r="C25" s="763">
        <f>SUM(C14:C24)</f>
        <v>409756.14999999997</v>
      </c>
      <c r="D25" s="930">
        <f>SUM(D14:D23)</f>
        <v>-19442.350000000024</v>
      </c>
      <c r="E25" s="1379">
        <f t="shared" si="0"/>
        <v>-4.5299203049404935E-2</v>
      </c>
      <c r="F25" s="1446"/>
      <c r="G25" s="1294">
        <f>SUM(G14:G24)</f>
        <v>429198.5</v>
      </c>
      <c r="H25" s="763">
        <f>SUM(H14:H24)</f>
        <v>672919.1100000001</v>
      </c>
      <c r="I25" s="930">
        <f>SUM(I14:I23)</f>
        <v>243720.61000000004</v>
      </c>
      <c r="J25" s="1449">
        <f t="shared" si="1"/>
        <v>0.56785056331743944</v>
      </c>
      <c r="K25" s="1235"/>
      <c r="L25" s="930">
        <f>SUM(L14:L24)</f>
        <v>429198.5</v>
      </c>
      <c r="M25" s="763">
        <f>SUM(M14:M24)</f>
        <v>811833.07</v>
      </c>
      <c r="N25" s="763">
        <f>SUM(N14:N23)</f>
        <v>382634.56999999995</v>
      </c>
      <c r="O25" s="1381">
        <f t="shared" si="2"/>
        <v>0.89150956958144068</v>
      </c>
      <c r="P25" s="1380"/>
      <c r="Q25" s="763">
        <f>SUM(Q14:Q24)</f>
        <v>429198.5</v>
      </c>
      <c r="R25" s="763">
        <f>SUM(R14:R23)</f>
        <v>1085674.67</v>
      </c>
      <c r="S25" s="763">
        <f>SUM(S14:S23)</f>
        <v>656476.16999999993</v>
      </c>
      <c r="T25" s="1408">
        <f t="shared" si="3"/>
        <v>1.5295397584101527</v>
      </c>
      <c r="U25" s="1235"/>
      <c r="V25" s="1283">
        <f>SUM(V14:V23)</f>
        <v>1716794</v>
      </c>
      <c r="W25" s="763">
        <f>SUM(W14:W23)</f>
        <v>2980183</v>
      </c>
      <c r="X25" s="930">
        <f>SUM(X14:X23)</f>
        <v>1263389</v>
      </c>
      <c r="Y25" s="1408">
        <f t="shared" si="5"/>
        <v>0.73590017206490699</v>
      </c>
      <c r="Z25" s="1250"/>
      <c r="AA25" s="1419">
        <f>SUM(AA14:AA24)</f>
        <v>1716938</v>
      </c>
      <c r="AB25" s="1331">
        <f>SUM(AB14:AB23)</f>
        <v>-1263245</v>
      </c>
      <c r="AC25" s="1424">
        <f t="shared" si="7"/>
        <v>-0.73575458170300845</v>
      </c>
      <c r="AD25" s="1241"/>
      <c r="AE25" s="1178"/>
    </row>
    <row r="26" spans="1:33" x14ac:dyDescent="0.3">
      <c r="A26" s="1263"/>
      <c r="B26" s="889"/>
      <c r="C26" s="416"/>
      <c r="D26" s="567"/>
      <c r="E26" s="225"/>
      <c r="F26" s="166"/>
      <c r="G26" s="1065"/>
      <c r="H26" s="1042"/>
      <c r="I26" s="602"/>
      <c r="J26" s="228"/>
      <c r="K26" s="782"/>
      <c r="L26" s="567"/>
      <c r="M26" s="415"/>
      <c r="N26" s="415"/>
      <c r="O26" s="199"/>
      <c r="P26" s="166"/>
      <c r="Q26" s="426"/>
      <c r="R26" s="427"/>
      <c r="S26" s="427"/>
      <c r="T26" s="1212" t="str">
        <f t="shared" si="3"/>
        <v>-</v>
      </c>
      <c r="U26" s="782"/>
      <c r="V26" s="397"/>
      <c r="W26" s="416"/>
      <c r="X26" s="567"/>
      <c r="Y26" s="769"/>
      <c r="Z26" s="951"/>
      <c r="AA26" s="397"/>
      <c r="AB26" s="416"/>
      <c r="AC26" s="124"/>
      <c r="AD26" s="1162"/>
      <c r="AE26" s="1176"/>
    </row>
    <row r="27" spans="1:33" x14ac:dyDescent="0.3">
      <c r="A27" s="1256" t="s">
        <v>74</v>
      </c>
      <c r="B27" s="889">
        <v>0</v>
      </c>
      <c r="C27" s="416">
        <v>0</v>
      </c>
      <c r="D27" s="567">
        <f>C27-B27</f>
        <v>0</v>
      </c>
      <c r="E27" s="194" t="str">
        <f>IF(ISERROR(D27/B27),"-",D27/B27)</f>
        <v>-</v>
      </c>
      <c r="F27" s="166"/>
      <c r="G27" s="1065">
        <v>0</v>
      </c>
      <c r="H27" s="1042">
        <v>0</v>
      </c>
      <c r="I27" s="567">
        <f>H27-G27</f>
        <v>0</v>
      </c>
      <c r="J27" s="195" t="str">
        <f>IF(ISERROR(I27/G27),"-",I27/G27)</f>
        <v>-</v>
      </c>
      <c r="K27" s="782"/>
      <c r="L27" s="567">
        <v>0</v>
      </c>
      <c r="M27" s="415">
        <v>0</v>
      </c>
      <c r="N27" s="415">
        <f>M27-L27</f>
        <v>0</v>
      </c>
      <c r="O27" s="196" t="str">
        <f>IF(ISERROR(N27/L27),"-",N27/L27)</f>
        <v>-</v>
      </c>
      <c r="P27" s="166"/>
      <c r="Q27" s="426">
        <v>0</v>
      </c>
      <c r="R27" s="427">
        <v>0</v>
      </c>
      <c r="S27" s="415">
        <f>R27-Q27</f>
        <v>0</v>
      </c>
      <c r="T27" s="1212" t="str">
        <f t="shared" si="3"/>
        <v>-</v>
      </c>
      <c r="U27" s="782"/>
      <c r="V27" s="397">
        <f>B27+G27+L27+Q27</f>
        <v>0</v>
      </c>
      <c r="W27" s="416">
        <f>C27+H27+M27+R27</f>
        <v>0</v>
      </c>
      <c r="X27" s="567">
        <f>W27-V27</f>
        <v>0</v>
      </c>
      <c r="Y27" s="769"/>
      <c r="Z27" s="951"/>
      <c r="AA27" s="397">
        <v>0</v>
      </c>
      <c r="AB27" s="416">
        <v>0</v>
      </c>
      <c r="AC27" s="124"/>
      <c r="AD27" s="1162"/>
      <c r="AE27" s="1178"/>
    </row>
    <row r="28" spans="1:33" x14ac:dyDescent="0.3">
      <c r="A28" s="1264"/>
      <c r="B28" s="1385"/>
      <c r="C28" s="1388"/>
      <c r="D28" s="568"/>
      <c r="E28" s="203"/>
      <c r="F28" s="160"/>
      <c r="G28" s="1390"/>
      <c r="H28" s="1288"/>
      <c r="I28" s="789"/>
      <c r="J28" s="206"/>
      <c r="K28" s="781"/>
      <c r="L28" s="568"/>
      <c r="M28" s="429"/>
      <c r="N28" s="429"/>
      <c r="O28" s="207"/>
      <c r="P28" s="160"/>
      <c r="Q28" s="430"/>
      <c r="R28" s="431"/>
      <c r="S28" s="431"/>
      <c r="T28" s="1213" t="str">
        <f t="shared" si="3"/>
        <v>-</v>
      </c>
      <c r="U28" s="781"/>
      <c r="V28" s="1411"/>
      <c r="W28" s="1388"/>
      <c r="X28" s="568"/>
      <c r="Y28" s="770"/>
      <c r="Z28" s="950"/>
      <c r="AA28" s="1411"/>
      <c r="AB28" s="1388"/>
      <c r="AC28" s="1425"/>
      <c r="AD28" s="1168"/>
      <c r="AE28" s="1181"/>
    </row>
    <row r="29" spans="1:33" x14ac:dyDescent="0.3">
      <c r="A29" s="1265" t="s">
        <v>75</v>
      </c>
      <c r="B29" s="1046">
        <f>B25+B27</f>
        <v>429198.5</v>
      </c>
      <c r="C29" s="1232">
        <f>C25+C27</f>
        <v>409756.14999999997</v>
      </c>
      <c r="D29" s="565">
        <f>D25+D27</f>
        <v>-19442.350000000024</v>
      </c>
      <c r="E29" s="211">
        <f>IF(ISERROR(D29/B29),"-",D29/B29)</f>
        <v>-4.5299203049404935E-2</v>
      </c>
      <c r="F29" s="178"/>
      <c r="G29" s="1046">
        <f>G25+G27</f>
        <v>429198.5</v>
      </c>
      <c r="H29" s="1232">
        <f>H25+H27</f>
        <v>672919.1100000001</v>
      </c>
      <c r="I29" s="565">
        <f>I25+I27</f>
        <v>243720.61000000004</v>
      </c>
      <c r="J29" s="211">
        <f>IF(ISERROR(I29/G29),"-",I29/G29)</f>
        <v>0.56785056331743944</v>
      </c>
      <c r="K29" s="784"/>
      <c r="L29" s="565">
        <f>L25+L27</f>
        <v>429198.5</v>
      </c>
      <c r="M29" s="433">
        <f>M25+M27</f>
        <v>811833.07</v>
      </c>
      <c r="N29" s="433">
        <f>N25+N27</f>
        <v>382634.56999999995</v>
      </c>
      <c r="O29" s="212">
        <f>IF(ISERROR(N29/L29),"-",N29/L29)</f>
        <v>0.89150956958144068</v>
      </c>
      <c r="P29" s="178"/>
      <c r="Q29" s="432">
        <f>Q25+Q27</f>
        <v>429198.5</v>
      </c>
      <c r="R29" s="433">
        <f>R25+R27</f>
        <v>1085674.67</v>
      </c>
      <c r="S29" s="433">
        <f>S25+S27</f>
        <v>656476.16999999993</v>
      </c>
      <c r="T29" s="1214">
        <f t="shared" si="3"/>
        <v>1.5295397584101527</v>
      </c>
      <c r="U29" s="784"/>
      <c r="V29" s="1063">
        <f>V25+V27</f>
        <v>1716794</v>
      </c>
      <c r="W29" s="1232">
        <f>W25+W27</f>
        <v>2980183</v>
      </c>
      <c r="X29" s="565">
        <f>X25+X27</f>
        <v>1263389</v>
      </c>
      <c r="Y29" s="1214">
        <f>IF(ISERROR(X29/V29),"-",X29/V29)</f>
        <v>0.73590017206490699</v>
      </c>
      <c r="Z29" s="950"/>
      <c r="AA29" s="1420">
        <f>AA25+AA27</f>
        <v>1716938</v>
      </c>
      <c r="AB29" s="1431">
        <f>AA29-W29</f>
        <v>-1263245</v>
      </c>
      <c r="AC29" s="1426">
        <f>IF(ISERROR(AB29/AA29),"-",AB29/AA29)</f>
        <v>-0.73575458170300845</v>
      </c>
      <c r="AD29" s="1173"/>
      <c r="AE29" s="1178"/>
    </row>
    <row r="30" spans="1:33" x14ac:dyDescent="0.3">
      <c r="A30" s="1266"/>
      <c r="B30" s="1293"/>
      <c r="C30" s="575"/>
      <c r="D30" s="569"/>
      <c r="E30" s="219"/>
      <c r="F30" s="160"/>
      <c r="G30" s="1391"/>
      <c r="H30" s="1289"/>
      <c r="I30" s="790"/>
      <c r="J30" s="222"/>
      <c r="K30" s="781"/>
      <c r="L30" s="569"/>
      <c r="M30" s="437"/>
      <c r="N30" s="437"/>
      <c r="O30" s="223"/>
      <c r="P30" s="160"/>
      <c r="Q30" s="438"/>
      <c r="R30" s="439"/>
      <c r="S30" s="439"/>
      <c r="T30" s="1215"/>
      <c r="U30" s="781"/>
      <c r="V30" s="1412"/>
      <c r="W30" s="1389"/>
      <c r="X30" s="569"/>
      <c r="Y30" s="772"/>
      <c r="Z30" s="950"/>
      <c r="AA30" s="1412"/>
      <c r="AB30" s="575"/>
      <c r="AC30" s="1427"/>
      <c r="AD30" s="1168"/>
      <c r="AE30" s="1178"/>
    </row>
    <row r="31" spans="1:33" x14ac:dyDescent="0.3">
      <c r="A31" s="1256" t="s">
        <v>76</v>
      </c>
      <c r="B31" s="889"/>
      <c r="C31" s="416"/>
      <c r="D31" s="567"/>
      <c r="E31" s="225"/>
      <c r="F31" s="166"/>
      <c r="G31" s="1065"/>
      <c r="H31" s="1042"/>
      <c r="I31" s="602"/>
      <c r="J31" s="228"/>
      <c r="K31" s="782"/>
      <c r="L31" s="567"/>
      <c r="M31" s="415"/>
      <c r="N31" s="415"/>
      <c r="O31" s="199"/>
      <c r="P31" s="166"/>
      <c r="Q31" s="426"/>
      <c r="R31" s="427"/>
      <c r="S31" s="427"/>
      <c r="T31" s="1216"/>
      <c r="U31" s="782"/>
      <c r="V31" s="397"/>
      <c r="W31" s="416"/>
      <c r="X31" s="567"/>
      <c r="Y31" s="769"/>
      <c r="Z31" s="951"/>
      <c r="AA31" s="397"/>
      <c r="AB31" s="416"/>
      <c r="AC31" s="124"/>
      <c r="AD31" s="1162"/>
      <c r="AE31" s="1178"/>
    </row>
    <row r="32" spans="1:33" x14ac:dyDescent="0.3">
      <c r="A32" s="1256" t="s">
        <v>77</v>
      </c>
      <c r="B32" s="889"/>
      <c r="C32" s="416"/>
      <c r="D32" s="567"/>
      <c r="E32" s="225"/>
      <c r="F32" s="166"/>
      <c r="G32" s="1065"/>
      <c r="H32" s="1042"/>
      <c r="I32" s="602"/>
      <c r="J32" s="228"/>
      <c r="K32" s="782"/>
      <c r="L32" s="567"/>
      <c r="M32" s="415"/>
      <c r="N32" s="415"/>
      <c r="O32" s="199"/>
      <c r="P32" s="166"/>
      <c r="Q32" s="426"/>
      <c r="R32" s="427"/>
      <c r="S32" s="427"/>
      <c r="T32" s="1216"/>
      <c r="U32" s="782"/>
      <c r="V32" s="397"/>
      <c r="W32" s="416"/>
      <c r="X32" s="567"/>
      <c r="Y32" s="769"/>
      <c r="Z32" s="951"/>
      <c r="AA32" s="397"/>
      <c r="AB32" s="416"/>
      <c r="AC32" s="124"/>
      <c r="AD32" s="1162"/>
      <c r="AE32" s="1178"/>
    </row>
    <row r="33" spans="1:31" x14ac:dyDescent="0.3">
      <c r="A33" s="1096" t="s">
        <v>78</v>
      </c>
      <c r="B33" s="889">
        <v>174368.6</v>
      </c>
      <c r="C33" s="416">
        <v>174368.6</v>
      </c>
      <c r="D33" s="604">
        <f t="shared" ref="D33:D40" si="14">C33-B33</f>
        <v>0</v>
      </c>
      <c r="E33" s="194">
        <f t="shared" ref="E33:E41" si="15">IF(ISERROR(D33/B33),"-",D33/B33)</f>
        <v>0</v>
      </c>
      <c r="F33" s="171"/>
      <c r="G33" s="889">
        <v>174368.6</v>
      </c>
      <c r="H33" s="416">
        <v>174368.6</v>
      </c>
      <c r="I33" s="604">
        <f t="shared" ref="I33:I40" si="16">H33-G33</f>
        <v>0</v>
      </c>
      <c r="J33" s="195">
        <f t="shared" ref="J33:J41" si="17">IF(ISERROR(I33/G33),"-",I33/G33)</f>
        <v>0</v>
      </c>
      <c r="K33" s="783"/>
      <c r="L33" s="567">
        <v>174368.6</v>
      </c>
      <c r="M33" s="427">
        <v>174368.6</v>
      </c>
      <c r="N33" s="416">
        <f t="shared" ref="N33:N40" si="18">M33-L33</f>
        <v>0</v>
      </c>
      <c r="O33" s="196">
        <f t="shared" ref="O33:O41" si="19">IF(ISERROR(N33/L33),"-",N33/L33)</f>
        <v>0</v>
      </c>
      <c r="P33" s="171"/>
      <c r="Q33" s="417">
        <v>174368.6</v>
      </c>
      <c r="R33" s="567">
        <v>174368.6</v>
      </c>
      <c r="S33" s="416">
        <f t="shared" ref="S33:S40" si="20">R33-Q33</f>
        <v>0</v>
      </c>
      <c r="T33" s="1212">
        <f t="shared" ref="T33:T41" si="21">IF(ISERROR(S33/Q33),"-",S33/Q33)</f>
        <v>0</v>
      </c>
      <c r="U33" s="783"/>
      <c r="V33" s="397">
        <f>B33+G33+L33+Q33</f>
        <v>697474.4</v>
      </c>
      <c r="W33" s="416">
        <f t="shared" ref="V33:W40" si="22">C33+H33+M33+R33</f>
        <v>697474.4</v>
      </c>
      <c r="X33" s="604">
        <f t="shared" ref="X33:X40" si="23">W33-V33</f>
        <v>0</v>
      </c>
      <c r="Y33" s="773">
        <f t="shared" ref="Y33:Y41" si="24">IF(ISERROR(X33/V33),"-",X33/V33)</f>
        <v>0</v>
      </c>
      <c r="Z33" s="951"/>
      <c r="AA33" s="397">
        <v>697474.79</v>
      </c>
      <c r="AB33" s="416">
        <f t="shared" ref="AB33:AB40" si="25">AA33-W33</f>
        <v>0.39000000001396984</v>
      </c>
      <c r="AC33" s="1313">
        <f t="shared" ref="AC33:AC41" si="26">IF(ISERROR(AB33/AA33),"-",AB33/AA33)</f>
        <v>5.5915999489238861E-7</v>
      </c>
      <c r="AD33" s="1163"/>
      <c r="AE33" s="1179"/>
    </row>
    <row r="34" spans="1:31" x14ac:dyDescent="0.3">
      <c r="A34" s="1096" t="s">
        <v>79</v>
      </c>
      <c r="B34" s="889">
        <v>6000</v>
      </c>
      <c r="C34" s="416">
        <v>3541.09</v>
      </c>
      <c r="D34" s="604">
        <f t="shared" si="14"/>
        <v>-2458.91</v>
      </c>
      <c r="E34" s="194">
        <f t="shared" si="15"/>
        <v>-0.40981833333333328</v>
      </c>
      <c r="F34" s="171"/>
      <c r="G34" s="889">
        <v>6000</v>
      </c>
      <c r="H34" s="416">
        <v>5855.01</v>
      </c>
      <c r="I34" s="604">
        <f t="shared" si="16"/>
        <v>-144.98999999999978</v>
      </c>
      <c r="J34" s="195">
        <f t="shared" si="17"/>
        <v>-2.4164999999999964E-2</v>
      </c>
      <c r="K34" s="783"/>
      <c r="L34" s="567">
        <v>6000</v>
      </c>
      <c r="M34" s="427">
        <v>5230.13</v>
      </c>
      <c r="N34" s="416">
        <f>M34-L34</f>
        <v>-769.86999999999989</v>
      </c>
      <c r="O34" s="196">
        <f t="shared" si="19"/>
        <v>-0.12831166666666666</v>
      </c>
      <c r="P34" s="171"/>
      <c r="Q34" s="417">
        <v>6000</v>
      </c>
      <c r="R34" s="567">
        <v>4849.7700000000004</v>
      </c>
      <c r="S34" s="416">
        <f t="shared" si="20"/>
        <v>-1150.2299999999996</v>
      </c>
      <c r="T34" s="1212">
        <f t="shared" si="21"/>
        <v>-0.19170499999999993</v>
      </c>
      <c r="U34" s="783"/>
      <c r="V34" s="397">
        <f t="shared" si="22"/>
        <v>24000</v>
      </c>
      <c r="W34" s="416">
        <f t="shared" si="22"/>
        <v>19476</v>
      </c>
      <c r="X34" s="604">
        <f t="shared" si="23"/>
        <v>-4524</v>
      </c>
      <c r="Y34" s="773">
        <f t="shared" si="24"/>
        <v>-0.1885</v>
      </c>
      <c r="Z34" s="951"/>
      <c r="AA34" s="397">
        <v>24000</v>
      </c>
      <c r="AB34" s="416">
        <f>AA34-W34</f>
        <v>4524</v>
      </c>
      <c r="AC34" s="1313">
        <f t="shared" si="26"/>
        <v>0.1885</v>
      </c>
      <c r="AD34" s="1163"/>
      <c r="AE34" s="1179"/>
    </row>
    <row r="35" spans="1:31" x14ac:dyDescent="0.3">
      <c r="A35" s="1096" t="s">
        <v>81</v>
      </c>
      <c r="B35" s="889">
        <v>0</v>
      </c>
      <c r="C35" s="416">
        <v>0</v>
      </c>
      <c r="D35" s="604">
        <f t="shared" si="14"/>
        <v>0</v>
      </c>
      <c r="E35" s="194" t="str">
        <f t="shared" si="15"/>
        <v>-</v>
      </c>
      <c r="F35" s="171"/>
      <c r="G35" s="889">
        <v>0</v>
      </c>
      <c r="H35" s="416">
        <v>0</v>
      </c>
      <c r="I35" s="604">
        <f t="shared" si="16"/>
        <v>0</v>
      </c>
      <c r="J35" s="195" t="str">
        <f t="shared" si="17"/>
        <v>-</v>
      </c>
      <c r="K35" s="783"/>
      <c r="L35" s="567">
        <v>0</v>
      </c>
      <c r="M35" s="427">
        <v>0</v>
      </c>
      <c r="N35" s="416">
        <f t="shared" si="18"/>
        <v>0</v>
      </c>
      <c r="O35" s="196" t="str">
        <f t="shared" si="19"/>
        <v>-</v>
      </c>
      <c r="P35" s="171"/>
      <c r="Q35" s="417">
        <v>0</v>
      </c>
      <c r="R35" s="567">
        <v>0</v>
      </c>
      <c r="S35" s="416">
        <f t="shared" si="20"/>
        <v>0</v>
      </c>
      <c r="T35" s="1212" t="str">
        <f t="shared" si="21"/>
        <v>-</v>
      </c>
      <c r="U35" s="783"/>
      <c r="V35" s="397">
        <f t="shared" si="22"/>
        <v>0</v>
      </c>
      <c r="W35" s="416">
        <f t="shared" si="22"/>
        <v>0</v>
      </c>
      <c r="X35" s="604">
        <f t="shared" si="23"/>
        <v>0</v>
      </c>
      <c r="Y35" s="773" t="str">
        <f t="shared" si="24"/>
        <v>-</v>
      </c>
      <c r="Z35" s="951"/>
      <c r="AA35" s="397">
        <v>0</v>
      </c>
      <c r="AB35" s="416">
        <f t="shared" si="25"/>
        <v>0</v>
      </c>
      <c r="AC35" s="1313" t="str">
        <f t="shared" si="26"/>
        <v>-</v>
      </c>
      <c r="AD35" s="1163"/>
      <c r="AE35" s="1179"/>
    </row>
    <row r="36" spans="1:31" x14ac:dyDescent="0.3">
      <c r="A36" s="1096" t="s">
        <v>106</v>
      </c>
      <c r="B36" s="889">
        <v>7717.5</v>
      </c>
      <c r="C36" s="416">
        <v>9077.25</v>
      </c>
      <c r="D36" s="604">
        <f t="shared" si="14"/>
        <v>1359.75</v>
      </c>
      <c r="E36" s="194">
        <f t="shared" si="15"/>
        <v>0.1761904761904762</v>
      </c>
      <c r="F36" s="230"/>
      <c r="G36" s="889">
        <v>7717.5</v>
      </c>
      <c r="H36" s="416">
        <v>8078.88</v>
      </c>
      <c r="I36" s="604">
        <f t="shared" si="16"/>
        <v>361.38000000000011</v>
      </c>
      <c r="J36" s="195">
        <f t="shared" si="17"/>
        <v>4.6826044703595741E-2</v>
      </c>
      <c r="K36" s="785"/>
      <c r="L36" s="567">
        <v>7717.5</v>
      </c>
      <c r="M36" s="427">
        <v>8085</v>
      </c>
      <c r="N36" s="416">
        <f t="shared" si="18"/>
        <v>367.5</v>
      </c>
      <c r="O36" s="196">
        <f t="shared" si="19"/>
        <v>4.7619047619047616E-2</v>
      </c>
      <c r="P36" s="230"/>
      <c r="Q36" s="417">
        <v>7717.5</v>
      </c>
      <c r="R36" s="567">
        <v>8085</v>
      </c>
      <c r="S36" s="416">
        <f t="shared" si="20"/>
        <v>367.5</v>
      </c>
      <c r="T36" s="1212">
        <f t="shared" si="21"/>
        <v>4.7619047619047616E-2</v>
      </c>
      <c r="U36" s="785"/>
      <c r="V36" s="397">
        <f t="shared" si="22"/>
        <v>30870</v>
      </c>
      <c r="W36" s="416">
        <f t="shared" si="22"/>
        <v>33326.130000000005</v>
      </c>
      <c r="X36" s="604">
        <f t="shared" si="23"/>
        <v>2456.1300000000047</v>
      </c>
      <c r="Y36" s="773">
        <f t="shared" si="24"/>
        <v>7.9563654033041942E-2</v>
      </c>
      <c r="Z36" s="953"/>
      <c r="AA36" s="1421">
        <v>30870</v>
      </c>
      <c r="AB36" s="416">
        <f t="shared" si="25"/>
        <v>-2456.1300000000047</v>
      </c>
      <c r="AC36" s="1313">
        <f t="shared" si="26"/>
        <v>-7.9563654033041942E-2</v>
      </c>
      <c r="AD36" s="1164"/>
      <c r="AE36" s="1178"/>
    </row>
    <row r="37" spans="1:31" x14ac:dyDescent="0.3">
      <c r="A37" s="1096" t="s">
        <v>80</v>
      </c>
      <c r="B37" s="889">
        <v>0</v>
      </c>
      <c r="C37" s="416">
        <v>0</v>
      </c>
      <c r="D37" s="604">
        <f t="shared" si="14"/>
        <v>0</v>
      </c>
      <c r="E37" s="194" t="str">
        <f t="shared" si="15"/>
        <v>-</v>
      </c>
      <c r="F37" s="230"/>
      <c r="G37" s="889">
        <v>0</v>
      </c>
      <c r="H37" s="416">
        <v>0</v>
      </c>
      <c r="I37" s="604">
        <f t="shared" si="16"/>
        <v>0</v>
      </c>
      <c r="J37" s="195" t="str">
        <f t="shared" si="17"/>
        <v>-</v>
      </c>
      <c r="K37" s="785"/>
      <c r="L37" s="567">
        <v>0</v>
      </c>
      <c r="M37" s="427">
        <v>0</v>
      </c>
      <c r="N37" s="416">
        <f t="shared" si="18"/>
        <v>0</v>
      </c>
      <c r="O37" s="196" t="str">
        <f t="shared" si="19"/>
        <v>-</v>
      </c>
      <c r="P37" s="230"/>
      <c r="Q37" s="417">
        <v>0</v>
      </c>
      <c r="R37" s="567">
        <v>0</v>
      </c>
      <c r="S37" s="416">
        <f t="shared" si="20"/>
        <v>0</v>
      </c>
      <c r="T37" s="1212" t="str">
        <f t="shared" si="21"/>
        <v>-</v>
      </c>
      <c r="U37" s="785"/>
      <c r="V37" s="397">
        <f t="shared" si="22"/>
        <v>0</v>
      </c>
      <c r="W37" s="416">
        <f t="shared" si="22"/>
        <v>0</v>
      </c>
      <c r="X37" s="604">
        <f t="shared" si="23"/>
        <v>0</v>
      </c>
      <c r="Y37" s="773" t="str">
        <f t="shared" si="24"/>
        <v>-</v>
      </c>
      <c r="Z37" s="953"/>
      <c r="AA37" s="397">
        <v>0</v>
      </c>
      <c r="AB37" s="416">
        <f t="shared" si="25"/>
        <v>0</v>
      </c>
      <c r="AC37" s="1313" t="str">
        <f t="shared" si="26"/>
        <v>-</v>
      </c>
      <c r="AD37" s="1164"/>
      <c r="AE37" s="1178"/>
    </row>
    <row r="38" spans="1:31" x14ac:dyDescent="0.3">
      <c r="A38" s="1096" t="s">
        <v>130</v>
      </c>
      <c r="B38" s="889">
        <v>11172</v>
      </c>
      <c r="C38" s="416">
        <v>10146.6</v>
      </c>
      <c r="D38" s="604">
        <f t="shared" si="14"/>
        <v>-1025.3999999999996</v>
      </c>
      <c r="E38" s="194">
        <f t="shared" si="15"/>
        <v>-9.1783029001074087E-2</v>
      </c>
      <c r="F38" s="171"/>
      <c r="G38" s="889">
        <v>11172</v>
      </c>
      <c r="H38" s="416">
        <v>10411.5</v>
      </c>
      <c r="I38" s="604">
        <f t="shared" si="16"/>
        <v>-760.5</v>
      </c>
      <c r="J38" s="195">
        <f t="shared" si="17"/>
        <v>-6.8071965628356601E-2</v>
      </c>
      <c r="K38" s="783"/>
      <c r="L38" s="567">
        <v>11172</v>
      </c>
      <c r="M38" s="427">
        <v>10146</v>
      </c>
      <c r="N38" s="416">
        <f t="shared" si="18"/>
        <v>-1026</v>
      </c>
      <c r="O38" s="196">
        <f t="shared" si="19"/>
        <v>-9.1836734693877556E-2</v>
      </c>
      <c r="P38" s="171"/>
      <c r="Q38" s="417">
        <v>11172</v>
      </c>
      <c r="R38" s="567">
        <v>7992</v>
      </c>
      <c r="S38" s="416">
        <f t="shared" si="20"/>
        <v>-3180</v>
      </c>
      <c r="T38" s="1212">
        <f t="shared" si="21"/>
        <v>-0.28464017185821699</v>
      </c>
      <c r="U38" s="783"/>
      <c r="V38" s="397">
        <f t="shared" si="22"/>
        <v>44688</v>
      </c>
      <c r="W38" s="416">
        <f t="shared" si="22"/>
        <v>38696.1</v>
      </c>
      <c r="X38" s="604">
        <f t="shared" si="23"/>
        <v>-5991.9000000000015</v>
      </c>
      <c r="Y38" s="773">
        <f t="shared" si="24"/>
        <v>-0.13408297529538135</v>
      </c>
      <c r="Z38" s="951"/>
      <c r="AA38" s="397">
        <v>44688</v>
      </c>
      <c r="AB38" s="416">
        <f t="shared" si="25"/>
        <v>5991.9000000000015</v>
      </c>
      <c r="AC38" s="1313">
        <f t="shared" si="26"/>
        <v>0.13408297529538135</v>
      </c>
      <c r="AD38" s="1163"/>
      <c r="AE38" s="1179"/>
    </row>
    <row r="39" spans="1:31" x14ac:dyDescent="0.3">
      <c r="A39" s="1096" t="s">
        <v>129</v>
      </c>
      <c r="B39" s="889">
        <v>0</v>
      </c>
      <c r="C39" s="416">
        <v>0</v>
      </c>
      <c r="D39" s="604">
        <f t="shared" si="14"/>
        <v>0</v>
      </c>
      <c r="E39" s="194" t="str">
        <f t="shared" si="15"/>
        <v>-</v>
      </c>
      <c r="F39" s="171"/>
      <c r="G39" s="889">
        <v>0</v>
      </c>
      <c r="H39" s="416">
        <v>0</v>
      </c>
      <c r="I39" s="604">
        <f t="shared" si="16"/>
        <v>0</v>
      </c>
      <c r="J39" s="195" t="str">
        <f t="shared" si="17"/>
        <v>-</v>
      </c>
      <c r="K39" s="783"/>
      <c r="L39" s="567">
        <v>0</v>
      </c>
      <c r="M39" s="567">
        <v>0</v>
      </c>
      <c r="N39" s="416">
        <f t="shared" si="18"/>
        <v>0</v>
      </c>
      <c r="O39" s="196" t="str">
        <f t="shared" si="19"/>
        <v>-</v>
      </c>
      <c r="P39" s="171"/>
      <c r="Q39" s="417">
        <v>0</v>
      </c>
      <c r="R39" s="567">
        <v>61120.77</v>
      </c>
      <c r="S39" s="416">
        <f t="shared" si="20"/>
        <v>61120.77</v>
      </c>
      <c r="T39" s="1212" t="str">
        <f t="shared" si="21"/>
        <v>-</v>
      </c>
      <c r="U39" s="783"/>
      <c r="V39" s="397">
        <f t="shared" si="22"/>
        <v>0</v>
      </c>
      <c r="W39" s="416">
        <f t="shared" si="22"/>
        <v>61120.77</v>
      </c>
      <c r="X39" s="604">
        <f t="shared" si="23"/>
        <v>61120.77</v>
      </c>
      <c r="Y39" s="773" t="str">
        <f t="shared" si="24"/>
        <v>-</v>
      </c>
      <c r="Z39" s="951"/>
      <c r="AA39" s="397">
        <v>0</v>
      </c>
      <c r="AB39" s="416">
        <f t="shared" si="25"/>
        <v>-61120.77</v>
      </c>
      <c r="AC39" s="1313" t="str">
        <f t="shared" si="26"/>
        <v>-</v>
      </c>
      <c r="AD39" s="1163"/>
      <c r="AE39" s="1179"/>
    </row>
    <row r="40" spans="1:31" x14ac:dyDescent="0.3">
      <c r="A40" s="1268" t="s">
        <v>40</v>
      </c>
      <c r="B40" s="889">
        <v>0</v>
      </c>
      <c r="C40" s="416">
        <v>0</v>
      </c>
      <c r="D40" s="604">
        <f t="shared" si="14"/>
        <v>0</v>
      </c>
      <c r="E40" s="233" t="str">
        <f t="shared" si="15"/>
        <v>-</v>
      </c>
      <c r="F40" s="166"/>
      <c r="G40" s="889">
        <v>0</v>
      </c>
      <c r="H40" s="416">
        <v>0</v>
      </c>
      <c r="I40" s="604">
        <f t="shared" si="16"/>
        <v>0</v>
      </c>
      <c r="J40" s="234" t="str">
        <f t="shared" si="17"/>
        <v>-</v>
      </c>
      <c r="K40" s="782"/>
      <c r="L40" s="567">
        <v>0</v>
      </c>
      <c r="M40" s="567">
        <v>0</v>
      </c>
      <c r="N40" s="416">
        <f t="shared" si="18"/>
        <v>0</v>
      </c>
      <c r="O40" s="235" t="str">
        <f t="shared" si="19"/>
        <v>-</v>
      </c>
      <c r="P40" s="166"/>
      <c r="Q40" s="998">
        <v>0</v>
      </c>
      <c r="R40" s="567">
        <v>0</v>
      </c>
      <c r="S40" s="416">
        <f t="shared" si="20"/>
        <v>0</v>
      </c>
      <c r="T40" s="1213" t="str">
        <f t="shared" si="21"/>
        <v>-</v>
      </c>
      <c r="U40" s="782"/>
      <c r="V40" s="1413">
        <f t="shared" si="22"/>
        <v>0</v>
      </c>
      <c r="W40" s="898">
        <f t="shared" si="22"/>
        <v>0</v>
      </c>
      <c r="X40" s="604">
        <f t="shared" si="23"/>
        <v>0</v>
      </c>
      <c r="Y40" s="774" t="str">
        <f t="shared" si="24"/>
        <v>-</v>
      </c>
      <c r="Z40" s="951"/>
      <c r="AA40" s="1413">
        <v>0</v>
      </c>
      <c r="AB40" s="898">
        <f t="shared" si="25"/>
        <v>0</v>
      </c>
      <c r="AC40" s="1428" t="str">
        <f t="shared" si="26"/>
        <v>-</v>
      </c>
      <c r="AD40" s="1162"/>
      <c r="AE40" s="1179"/>
    </row>
    <row r="41" spans="1:31" x14ac:dyDescent="0.3">
      <c r="A41" s="1265" t="s">
        <v>83</v>
      </c>
      <c r="B41" s="1046">
        <f>SUM(B33:B40)</f>
        <v>199258.1</v>
      </c>
      <c r="C41" s="1232">
        <f>SUM(C33:C40)</f>
        <v>197133.54</v>
      </c>
      <c r="D41" s="1227">
        <f>SUM(D33:D40)</f>
        <v>-2124.5599999999995</v>
      </c>
      <c r="E41" s="211">
        <f t="shared" si="15"/>
        <v>-1.0662351994724427E-2</v>
      </c>
      <c r="F41" s="171"/>
      <c r="G41" s="1046">
        <f>SUM(G33:G40)</f>
        <v>199258.1</v>
      </c>
      <c r="H41" s="1232">
        <f>SUM(H33:H40)</f>
        <v>198713.99000000002</v>
      </c>
      <c r="I41" s="1227">
        <f>SUM(I33:I40)</f>
        <v>-544.10999999999967</v>
      </c>
      <c r="J41" s="211">
        <f t="shared" si="17"/>
        <v>-2.7306794554399529E-3</v>
      </c>
      <c r="K41" s="783"/>
      <c r="L41" s="565">
        <f>SUM(L33:L40)</f>
        <v>199258.1</v>
      </c>
      <c r="M41" s="433">
        <f>SUM(M33:M40)</f>
        <v>197829.73</v>
      </c>
      <c r="N41" s="433">
        <f>SUM(N33:N40)</f>
        <v>-1428.37</v>
      </c>
      <c r="O41" s="212">
        <f t="shared" si="19"/>
        <v>-7.1684413331252273E-3</v>
      </c>
      <c r="P41" s="171"/>
      <c r="Q41" s="432">
        <f>SUM(Q33:Q40)</f>
        <v>199258.1</v>
      </c>
      <c r="R41" s="433">
        <f>SUM(R33:R40)</f>
        <v>256416.13999999998</v>
      </c>
      <c r="S41" s="433">
        <f>SUM(S33:S40)</f>
        <v>57158.039999999994</v>
      </c>
      <c r="T41" s="1214">
        <f t="shared" si="21"/>
        <v>0.28685428597381984</v>
      </c>
      <c r="U41" s="783"/>
      <c r="V41" s="1063">
        <f>SUM(V33:V40)</f>
        <v>797032.4</v>
      </c>
      <c r="W41" s="1232">
        <f>SUM(W33:W40)</f>
        <v>850093.4</v>
      </c>
      <c r="X41" s="565">
        <f>SUM(X33:X40)</f>
        <v>53061</v>
      </c>
      <c r="Y41" s="1214">
        <f t="shared" si="24"/>
        <v>6.6573203297632569E-2</v>
      </c>
      <c r="Z41" s="951"/>
      <c r="AA41" s="1420">
        <f>SUM(AA33:AA40)</f>
        <v>797032.79</v>
      </c>
      <c r="AB41" s="1431">
        <f>SUM(AB33:AB40)</f>
        <v>-53060.609999999986</v>
      </c>
      <c r="AC41" s="1429">
        <f t="shared" si="26"/>
        <v>-6.6572681407498904E-2</v>
      </c>
      <c r="AD41" s="1163"/>
      <c r="AE41" s="1181"/>
    </row>
    <row r="42" spans="1:31" x14ac:dyDescent="0.3">
      <c r="A42" s="1266"/>
      <c r="B42" s="1323"/>
      <c r="C42" s="905"/>
      <c r="D42" s="1392"/>
      <c r="E42" s="1433"/>
      <c r="F42" s="166"/>
      <c r="G42" s="1225"/>
      <c r="H42" s="1440"/>
      <c r="I42" s="1230"/>
      <c r="J42" s="1450"/>
      <c r="K42" s="782"/>
      <c r="L42" s="566"/>
      <c r="M42" s="423"/>
      <c r="N42" s="423"/>
      <c r="O42" s="191"/>
      <c r="P42" s="166"/>
      <c r="Q42" s="424"/>
      <c r="R42" s="425"/>
      <c r="S42" s="425"/>
      <c r="T42" s="1217"/>
      <c r="U42" s="782"/>
      <c r="V42" s="1412"/>
      <c r="W42" s="1389"/>
      <c r="X42" s="566"/>
      <c r="Y42" s="768"/>
      <c r="Z42" s="951"/>
      <c r="AA42" s="1412"/>
      <c r="AB42" s="1389"/>
      <c r="AC42" s="1430"/>
      <c r="AD42" s="1162"/>
      <c r="AE42" s="1178"/>
    </row>
    <row r="43" spans="1:31" x14ac:dyDescent="0.3">
      <c r="A43" s="1256" t="s">
        <v>84</v>
      </c>
      <c r="B43" s="1045"/>
      <c r="C43" s="1052"/>
      <c r="D43" s="412"/>
      <c r="E43" s="1434"/>
      <c r="F43" s="160"/>
      <c r="G43" s="1226"/>
      <c r="H43" s="1441"/>
      <c r="I43" s="1231"/>
      <c r="J43" s="1451"/>
      <c r="K43" s="781"/>
      <c r="L43" s="571"/>
      <c r="M43" s="445"/>
      <c r="N43" s="445"/>
      <c r="O43" s="246"/>
      <c r="P43" s="160"/>
      <c r="Q43" s="997"/>
      <c r="R43" s="791"/>
      <c r="S43" s="447"/>
      <c r="T43" s="1218"/>
      <c r="U43" s="781"/>
      <c r="V43" s="327"/>
      <c r="W43" s="412"/>
      <c r="X43" s="567"/>
      <c r="Y43" s="769"/>
      <c r="Z43" s="950"/>
      <c r="AA43" s="327"/>
      <c r="AB43" s="416"/>
      <c r="AC43" s="124"/>
      <c r="AD43" s="1168"/>
      <c r="AE43" s="1178"/>
    </row>
    <row r="44" spans="1:31" x14ac:dyDescent="0.3">
      <c r="A44" s="1096" t="s">
        <v>85</v>
      </c>
      <c r="B44" s="889">
        <v>0</v>
      </c>
      <c r="C44" s="891">
        <v>0</v>
      </c>
      <c r="D44" s="416">
        <f t="shared" ref="D44:D75" si="27">C44-B44</f>
        <v>0</v>
      </c>
      <c r="E44" s="1003" t="str">
        <f t="shared" ref="E44:E76" si="28">IF(ISERROR(D44/B44),"-",D44/B44)</f>
        <v>-</v>
      </c>
      <c r="F44" s="171"/>
      <c r="G44" s="1065">
        <v>0</v>
      </c>
      <c r="H44" s="1066">
        <v>0</v>
      </c>
      <c r="I44" s="416">
        <f t="shared" ref="I44:I75" si="29">H44-G44</f>
        <v>0</v>
      </c>
      <c r="J44" s="1017" t="str">
        <f t="shared" ref="J44:J75" si="30">IF(ISERROR(I44/G44),"-",I44/G44)</f>
        <v>-</v>
      </c>
      <c r="K44" s="783"/>
      <c r="L44" s="417">
        <v>4000</v>
      </c>
      <c r="M44" s="567">
        <v>2316.73</v>
      </c>
      <c r="N44" s="416">
        <f t="shared" ref="N44:N75" si="31">M44-L44</f>
        <v>-1683.27</v>
      </c>
      <c r="O44" s="196">
        <f t="shared" ref="O44:O73" si="32">IF(ISERROR(N44/L44),"-",N44/L44)</f>
        <v>-0.42081750000000001</v>
      </c>
      <c r="P44" s="171"/>
      <c r="Q44" s="416">
        <v>0</v>
      </c>
      <c r="R44" s="567">
        <v>0</v>
      </c>
      <c r="S44" s="416">
        <f t="shared" ref="S44:S75" si="33">R44-Q44</f>
        <v>0</v>
      </c>
      <c r="T44" s="1212" t="str">
        <f t="shared" ref="T44:T72" si="34">IF(ISERROR(S44/Q44),"-",S44/Q44)</f>
        <v>-</v>
      </c>
      <c r="U44" s="783"/>
      <c r="V44" s="397">
        <f t="shared" ref="V44:W75" si="35">B44+G44+L44+Q44</f>
        <v>4000</v>
      </c>
      <c r="W44" s="416">
        <f t="shared" si="35"/>
        <v>2316.73</v>
      </c>
      <c r="X44" s="604">
        <f t="shared" ref="X44:X75" si="36">W44-V44</f>
        <v>-1683.27</v>
      </c>
      <c r="Y44" s="773">
        <f t="shared" ref="Y44:Y76" si="37">IF(ISERROR(X44/V44),"-",X44/V44)</f>
        <v>-0.42081750000000001</v>
      </c>
      <c r="Z44" s="951"/>
      <c r="AA44" s="397">
        <v>4000</v>
      </c>
      <c r="AB44" s="416">
        <f>AA44-W44</f>
        <v>1683.27</v>
      </c>
      <c r="AC44" s="1313">
        <f>IF(ISERROR(AB44/AA44),"-",AB44/AA44)</f>
        <v>0.42081750000000001</v>
      </c>
      <c r="AD44" s="1163"/>
      <c r="AE44" s="1183"/>
    </row>
    <row r="45" spans="1:31" x14ac:dyDescent="0.3">
      <c r="A45" s="1096" t="s">
        <v>128</v>
      </c>
      <c r="B45" s="889">
        <v>0</v>
      </c>
      <c r="C45" s="891">
        <v>0</v>
      </c>
      <c r="D45" s="416">
        <f t="shared" si="27"/>
        <v>0</v>
      </c>
      <c r="E45" s="1003" t="str">
        <f t="shared" si="28"/>
        <v>-</v>
      </c>
      <c r="F45" s="230"/>
      <c r="G45" s="1065">
        <v>0</v>
      </c>
      <c r="H45" s="1066">
        <v>0</v>
      </c>
      <c r="I45" s="416">
        <f t="shared" si="29"/>
        <v>0</v>
      </c>
      <c r="J45" s="1017" t="str">
        <f t="shared" si="30"/>
        <v>-</v>
      </c>
      <c r="K45" s="785"/>
      <c r="L45" s="417">
        <v>0</v>
      </c>
      <c r="M45" s="567">
        <v>0</v>
      </c>
      <c r="N45" s="416">
        <f t="shared" si="31"/>
        <v>0</v>
      </c>
      <c r="O45" s="196" t="str">
        <f t="shared" si="32"/>
        <v>-</v>
      </c>
      <c r="P45" s="230"/>
      <c r="Q45" s="416">
        <v>13000</v>
      </c>
      <c r="R45" s="567">
        <v>0</v>
      </c>
      <c r="S45" s="416">
        <f t="shared" si="33"/>
        <v>-13000</v>
      </c>
      <c r="T45" s="1212">
        <f t="shared" si="34"/>
        <v>-1</v>
      </c>
      <c r="U45" s="785"/>
      <c r="V45" s="397">
        <f t="shared" si="35"/>
        <v>13000</v>
      </c>
      <c r="W45" s="416">
        <f t="shared" si="35"/>
        <v>0</v>
      </c>
      <c r="X45" s="604">
        <f t="shared" si="36"/>
        <v>-13000</v>
      </c>
      <c r="Y45" s="773">
        <f t="shared" si="37"/>
        <v>-1</v>
      </c>
      <c r="Z45" s="953"/>
      <c r="AA45" s="397">
        <v>13000</v>
      </c>
      <c r="AB45" s="416">
        <f t="shared" ref="AB45:AB75" si="38">AA45-W45</f>
        <v>13000</v>
      </c>
      <c r="AC45" s="1313">
        <f t="shared" ref="AC45:AC75" si="39">IF(ISERROR(AB45/AA45),"-",AB45/AA45)</f>
        <v>1</v>
      </c>
      <c r="AD45" s="1164"/>
      <c r="AE45" s="1178"/>
    </row>
    <row r="46" spans="1:31" x14ac:dyDescent="0.3">
      <c r="A46" s="1096" t="s">
        <v>127</v>
      </c>
      <c r="B46" s="889">
        <v>0</v>
      </c>
      <c r="C46" s="891">
        <v>0</v>
      </c>
      <c r="D46" s="416">
        <f t="shared" si="27"/>
        <v>0</v>
      </c>
      <c r="E46" s="1003" t="str">
        <f t="shared" si="28"/>
        <v>-</v>
      </c>
      <c r="F46" s="230"/>
      <c r="G46" s="1065">
        <v>0</v>
      </c>
      <c r="H46" s="1066">
        <v>0</v>
      </c>
      <c r="I46" s="416">
        <f t="shared" si="29"/>
        <v>0</v>
      </c>
      <c r="J46" s="1017" t="str">
        <f t="shared" si="30"/>
        <v>-</v>
      </c>
      <c r="K46" s="785"/>
      <c r="L46" s="417">
        <v>0</v>
      </c>
      <c r="M46" s="567">
        <v>0</v>
      </c>
      <c r="N46" s="416">
        <f t="shared" si="31"/>
        <v>0</v>
      </c>
      <c r="O46" s="196" t="str">
        <f t="shared" si="32"/>
        <v>-</v>
      </c>
      <c r="P46" s="230"/>
      <c r="Q46" s="416">
        <v>0</v>
      </c>
      <c r="R46" s="567">
        <v>0</v>
      </c>
      <c r="S46" s="416">
        <f t="shared" si="33"/>
        <v>0</v>
      </c>
      <c r="T46" s="1212" t="str">
        <f t="shared" si="34"/>
        <v>-</v>
      </c>
      <c r="U46" s="785"/>
      <c r="V46" s="397">
        <f t="shared" si="35"/>
        <v>0</v>
      </c>
      <c r="W46" s="416">
        <f t="shared" si="35"/>
        <v>0</v>
      </c>
      <c r="X46" s="604">
        <f t="shared" si="36"/>
        <v>0</v>
      </c>
      <c r="Y46" s="773" t="str">
        <f t="shared" si="37"/>
        <v>-</v>
      </c>
      <c r="Z46" s="953"/>
      <c r="AA46" s="397">
        <v>0</v>
      </c>
      <c r="AB46" s="416">
        <f t="shared" si="38"/>
        <v>0</v>
      </c>
      <c r="AC46" s="1313" t="str">
        <f t="shared" si="39"/>
        <v>-</v>
      </c>
      <c r="AD46" s="1164"/>
      <c r="AE46" s="1178"/>
    </row>
    <row r="47" spans="1:31" x14ac:dyDescent="0.3">
      <c r="A47" s="1096" t="s">
        <v>86</v>
      </c>
      <c r="B47" s="889">
        <v>25</v>
      </c>
      <c r="C47" s="891">
        <v>0</v>
      </c>
      <c r="D47" s="416">
        <f t="shared" si="27"/>
        <v>-25</v>
      </c>
      <c r="E47" s="1003">
        <f t="shared" si="28"/>
        <v>-1</v>
      </c>
      <c r="F47" s="230"/>
      <c r="G47" s="1065">
        <v>25</v>
      </c>
      <c r="H47" s="1066">
        <v>0</v>
      </c>
      <c r="I47" s="416">
        <f t="shared" si="29"/>
        <v>-25</v>
      </c>
      <c r="J47" s="1017">
        <f t="shared" si="30"/>
        <v>-1</v>
      </c>
      <c r="K47" s="785"/>
      <c r="L47" s="417">
        <v>25</v>
      </c>
      <c r="M47" s="567">
        <v>0</v>
      </c>
      <c r="N47" s="416">
        <f t="shared" si="31"/>
        <v>-25</v>
      </c>
      <c r="O47" s="196">
        <f t="shared" si="32"/>
        <v>-1</v>
      </c>
      <c r="P47" s="230"/>
      <c r="Q47" s="416">
        <v>25</v>
      </c>
      <c r="R47" s="567">
        <v>0</v>
      </c>
      <c r="S47" s="416">
        <f t="shared" si="33"/>
        <v>-25</v>
      </c>
      <c r="T47" s="1212">
        <f t="shared" si="34"/>
        <v>-1</v>
      </c>
      <c r="U47" s="785"/>
      <c r="V47" s="397">
        <f t="shared" si="35"/>
        <v>100</v>
      </c>
      <c r="W47" s="416">
        <f t="shared" si="35"/>
        <v>0</v>
      </c>
      <c r="X47" s="604">
        <f t="shared" si="36"/>
        <v>-100</v>
      </c>
      <c r="Y47" s="773">
        <f t="shared" si="37"/>
        <v>-1</v>
      </c>
      <c r="Z47" s="953"/>
      <c r="AA47" s="397">
        <v>100</v>
      </c>
      <c r="AB47" s="416">
        <f t="shared" si="38"/>
        <v>100</v>
      </c>
      <c r="AC47" s="1313">
        <f t="shared" si="39"/>
        <v>1</v>
      </c>
      <c r="AD47" s="1164"/>
      <c r="AE47" s="1183"/>
    </row>
    <row r="48" spans="1:31" x14ac:dyDescent="0.3">
      <c r="A48" s="1096" t="s">
        <v>87</v>
      </c>
      <c r="B48" s="889">
        <v>0</v>
      </c>
      <c r="C48" s="891">
        <v>0</v>
      </c>
      <c r="D48" s="416">
        <f t="shared" si="27"/>
        <v>0</v>
      </c>
      <c r="E48" s="1003" t="str">
        <f t="shared" si="28"/>
        <v>-</v>
      </c>
      <c r="F48" s="230"/>
      <c r="G48" s="1065">
        <v>0</v>
      </c>
      <c r="H48" s="1066">
        <v>0</v>
      </c>
      <c r="I48" s="416">
        <f t="shared" si="29"/>
        <v>0</v>
      </c>
      <c r="J48" s="1017" t="str">
        <f t="shared" si="30"/>
        <v>-</v>
      </c>
      <c r="K48" s="785"/>
      <c r="L48" s="417">
        <v>0</v>
      </c>
      <c r="M48" s="567">
        <v>0</v>
      </c>
      <c r="N48" s="416">
        <f t="shared" si="31"/>
        <v>0</v>
      </c>
      <c r="O48" s="196" t="str">
        <f t="shared" si="32"/>
        <v>-</v>
      </c>
      <c r="P48" s="230"/>
      <c r="Q48" s="416">
        <v>0</v>
      </c>
      <c r="R48" s="567">
        <v>0</v>
      </c>
      <c r="S48" s="416">
        <f t="shared" si="33"/>
        <v>0</v>
      </c>
      <c r="T48" s="1212" t="str">
        <f t="shared" si="34"/>
        <v>-</v>
      </c>
      <c r="U48" s="785"/>
      <c r="V48" s="397">
        <f t="shared" si="35"/>
        <v>0</v>
      </c>
      <c r="W48" s="416">
        <f t="shared" si="35"/>
        <v>0</v>
      </c>
      <c r="X48" s="604">
        <f t="shared" si="36"/>
        <v>0</v>
      </c>
      <c r="Y48" s="773" t="str">
        <f t="shared" si="37"/>
        <v>-</v>
      </c>
      <c r="Z48" s="953"/>
      <c r="AA48" s="397">
        <v>0</v>
      </c>
      <c r="AB48" s="416">
        <f t="shared" si="38"/>
        <v>0</v>
      </c>
      <c r="AC48" s="1313" t="str">
        <f t="shared" si="39"/>
        <v>-</v>
      </c>
      <c r="AD48" s="1164"/>
      <c r="AE48" s="1178"/>
    </row>
    <row r="49" spans="1:31" x14ac:dyDescent="0.3">
      <c r="A49" s="1096" t="s">
        <v>88</v>
      </c>
      <c r="B49" s="889">
        <v>2750</v>
      </c>
      <c r="C49" s="891">
        <v>1607.82</v>
      </c>
      <c r="D49" s="416">
        <f t="shared" si="27"/>
        <v>-1142.18</v>
      </c>
      <c r="E49" s="1003">
        <f t="shared" si="28"/>
        <v>-0.41533818181818183</v>
      </c>
      <c r="F49" s="171"/>
      <c r="G49" s="889">
        <v>2750</v>
      </c>
      <c r="H49" s="1066">
        <v>3491.38</v>
      </c>
      <c r="I49" s="416">
        <f t="shared" si="29"/>
        <v>741.38000000000011</v>
      </c>
      <c r="J49" s="1017">
        <f t="shared" si="30"/>
        <v>0.26959272727272732</v>
      </c>
      <c r="K49" s="783"/>
      <c r="L49" s="417">
        <v>2750</v>
      </c>
      <c r="M49" s="567">
        <v>3670.6</v>
      </c>
      <c r="N49" s="416">
        <f t="shared" si="31"/>
        <v>920.59999999999991</v>
      </c>
      <c r="O49" s="196">
        <f t="shared" si="32"/>
        <v>0.33476363636363632</v>
      </c>
      <c r="P49" s="171"/>
      <c r="Q49" s="416">
        <v>2750</v>
      </c>
      <c r="R49" s="567">
        <v>2517.35</v>
      </c>
      <c r="S49" s="416">
        <f t="shared" si="33"/>
        <v>-232.65000000000009</v>
      </c>
      <c r="T49" s="1212">
        <f t="shared" si="34"/>
        <v>-8.4600000000000036E-2</v>
      </c>
      <c r="U49" s="783"/>
      <c r="V49" s="397">
        <f t="shared" si="35"/>
        <v>11000</v>
      </c>
      <c r="W49" s="416">
        <f t="shared" si="35"/>
        <v>11287.15</v>
      </c>
      <c r="X49" s="604">
        <f t="shared" si="36"/>
        <v>287.14999999999964</v>
      </c>
      <c r="Y49" s="773">
        <f t="shared" si="37"/>
        <v>2.6104545454545422E-2</v>
      </c>
      <c r="Z49" s="951"/>
      <c r="AA49" s="397">
        <v>11000</v>
      </c>
      <c r="AB49" s="416">
        <f t="shared" si="38"/>
        <v>-287.14999999999964</v>
      </c>
      <c r="AC49" s="1313">
        <f t="shared" si="39"/>
        <v>-2.6104545454545422E-2</v>
      </c>
      <c r="AD49" s="1163"/>
      <c r="AE49" s="1183"/>
    </row>
    <row r="50" spans="1:31" x14ac:dyDescent="0.3">
      <c r="A50" s="1096" t="s">
        <v>89</v>
      </c>
      <c r="B50" s="889">
        <v>0</v>
      </c>
      <c r="C50" s="891">
        <v>0</v>
      </c>
      <c r="D50" s="416">
        <f t="shared" si="27"/>
        <v>0</v>
      </c>
      <c r="E50" s="1003" t="str">
        <f t="shared" si="28"/>
        <v>-</v>
      </c>
      <c r="F50" s="171"/>
      <c r="G50" s="1065">
        <v>0</v>
      </c>
      <c r="H50" s="1066">
        <v>0</v>
      </c>
      <c r="I50" s="416">
        <f t="shared" si="29"/>
        <v>0</v>
      </c>
      <c r="J50" s="1017" t="str">
        <f t="shared" si="30"/>
        <v>-</v>
      </c>
      <c r="K50" s="783"/>
      <c r="L50" s="417">
        <v>0</v>
      </c>
      <c r="M50" s="567">
        <v>0</v>
      </c>
      <c r="N50" s="416">
        <f t="shared" si="31"/>
        <v>0</v>
      </c>
      <c r="O50" s="196" t="str">
        <f t="shared" si="32"/>
        <v>-</v>
      </c>
      <c r="P50" s="171"/>
      <c r="Q50" s="416">
        <v>0</v>
      </c>
      <c r="R50" s="567">
        <v>0</v>
      </c>
      <c r="S50" s="416">
        <f t="shared" si="33"/>
        <v>0</v>
      </c>
      <c r="T50" s="1212" t="str">
        <f t="shared" si="34"/>
        <v>-</v>
      </c>
      <c r="U50" s="783"/>
      <c r="V50" s="397">
        <f t="shared" si="35"/>
        <v>0</v>
      </c>
      <c r="W50" s="416">
        <f t="shared" si="35"/>
        <v>0</v>
      </c>
      <c r="X50" s="604">
        <f t="shared" si="36"/>
        <v>0</v>
      </c>
      <c r="Y50" s="773" t="str">
        <f t="shared" si="37"/>
        <v>-</v>
      </c>
      <c r="Z50" s="951"/>
      <c r="AA50" s="397">
        <v>0</v>
      </c>
      <c r="AB50" s="416">
        <f t="shared" si="38"/>
        <v>0</v>
      </c>
      <c r="AC50" s="1313" t="str">
        <f t="shared" si="39"/>
        <v>-</v>
      </c>
      <c r="AD50" s="1163"/>
      <c r="AE50" s="1183"/>
    </row>
    <row r="51" spans="1:31" x14ac:dyDescent="0.3">
      <c r="A51" s="1096" t="s">
        <v>113</v>
      </c>
      <c r="B51" s="889">
        <v>0</v>
      </c>
      <c r="C51" s="891">
        <v>0</v>
      </c>
      <c r="D51" s="416">
        <f t="shared" si="27"/>
        <v>0</v>
      </c>
      <c r="E51" s="1003"/>
      <c r="F51" s="171"/>
      <c r="G51" s="1065">
        <v>0</v>
      </c>
      <c r="H51" s="1066">
        <v>0</v>
      </c>
      <c r="I51" s="416">
        <f t="shared" si="29"/>
        <v>0</v>
      </c>
      <c r="J51" s="1017"/>
      <c r="K51" s="783"/>
      <c r="L51" s="417">
        <v>0</v>
      </c>
      <c r="M51" s="567">
        <v>0</v>
      </c>
      <c r="N51" s="416">
        <f t="shared" si="31"/>
        <v>0</v>
      </c>
      <c r="O51" s="196" t="str">
        <f t="shared" si="32"/>
        <v>-</v>
      </c>
      <c r="P51" s="171"/>
      <c r="Q51" s="416">
        <v>0</v>
      </c>
      <c r="R51" s="567">
        <v>0</v>
      </c>
      <c r="S51" s="416">
        <f t="shared" si="33"/>
        <v>0</v>
      </c>
      <c r="T51" s="1212" t="str">
        <f t="shared" si="34"/>
        <v>-</v>
      </c>
      <c r="U51" s="783"/>
      <c r="V51" s="397">
        <f>B51+G51+L51+Q51</f>
        <v>0</v>
      </c>
      <c r="W51" s="416">
        <f>C51+H51+M51+R51</f>
        <v>0</v>
      </c>
      <c r="X51" s="604">
        <f t="shared" si="36"/>
        <v>0</v>
      </c>
      <c r="Y51" s="773"/>
      <c r="Z51" s="951"/>
      <c r="AA51" s="397">
        <v>0</v>
      </c>
      <c r="AB51" s="416">
        <f t="shared" si="38"/>
        <v>0</v>
      </c>
      <c r="AC51" s="1313" t="str">
        <f t="shared" si="39"/>
        <v>-</v>
      </c>
      <c r="AD51" s="1163"/>
      <c r="AE51" s="1183"/>
    </row>
    <row r="52" spans="1:31" x14ac:dyDescent="0.3">
      <c r="A52" s="1096" t="s">
        <v>126</v>
      </c>
      <c r="B52" s="889">
        <v>0</v>
      </c>
      <c r="C52" s="891">
        <v>0</v>
      </c>
      <c r="D52" s="416">
        <f t="shared" si="27"/>
        <v>0</v>
      </c>
      <c r="E52" s="1003" t="str">
        <f t="shared" si="28"/>
        <v>-</v>
      </c>
      <c r="F52" s="230"/>
      <c r="G52" s="1065">
        <v>0</v>
      </c>
      <c r="H52" s="1066">
        <v>0</v>
      </c>
      <c r="I52" s="416">
        <f t="shared" si="29"/>
        <v>0</v>
      </c>
      <c r="J52" s="1017" t="str">
        <f t="shared" si="30"/>
        <v>-</v>
      </c>
      <c r="K52" s="785"/>
      <c r="L52" s="417">
        <v>0</v>
      </c>
      <c r="M52" s="567">
        <v>0</v>
      </c>
      <c r="N52" s="416">
        <f t="shared" si="31"/>
        <v>0</v>
      </c>
      <c r="O52" s="196" t="str">
        <f t="shared" si="32"/>
        <v>-</v>
      </c>
      <c r="P52" s="230"/>
      <c r="Q52" s="416">
        <v>0</v>
      </c>
      <c r="R52" s="567">
        <v>0</v>
      </c>
      <c r="S52" s="416">
        <f t="shared" si="33"/>
        <v>0</v>
      </c>
      <c r="T52" s="1212" t="str">
        <f t="shared" si="34"/>
        <v>-</v>
      </c>
      <c r="U52" s="785"/>
      <c r="V52" s="397">
        <f t="shared" si="35"/>
        <v>0</v>
      </c>
      <c r="W52" s="416">
        <f t="shared" si="35"/>
        <v>0</v>
      </c>
      <c r="X52" s="604">
        <f t="shared" si="36"/>
        <v>0</v>
      </c>
      <c r="Y52" s="773" t="str">
        <f t="shared" si="37"/>
        <v>-</v>
      </c>
      <c r="Z52" s="953"/>
      <c r="AA52" s="397">
        <v>0</v>
      </c>
      <c r="AB52" s="416">
        <f t="shared" si="38"/>
        <v>0</v>
      </c>
      <c r="AC52" s="1313" t="str">
        <f t="shared" si="39"/>
        <v>-</v>
      </c>
      <c r="AD52" s="1164"/>
      <c r="AE52" s="1178"/>
    </row>
    <row r="53" spans="1:31" x14ac:dyDescent="0.3">
      <c r="A53" s="1096" t="s">
        <v>82</v>
      </c>
      <c r="B53" s="889">
        <v>0</v>
      </c>
      <c r="C53" s="891">
        <v>0</v>
      </c>
      <c r="D53" s="416">
        <f t="shared" si="27"/>
        <v>0</v>
      </c>
      <c r="E53" s="1003" t="str">
        <f t="shared" si="28"/>
        <v>-</v>
      </c>
      <c r="F53" s="230"/>
      <c r="G53" s="1065">
        <v>0</v>
      </c>
      <c r="H53" s="1066">
        <v>0</v>
      </c>
      <c r="I53" s="416">
        <f t="shared" si="29"/>
        <v>0</v>
      </c>
      <c r="J53" s="1017" t="str">
        <f t="shared" si="30"/>
        <v>-</v>
      </c>
      <c r="K53" s="785"/>
      <c r="L53" s="417">
        <v>0</v>
      </c>
      <c r="M53" s="567">
        <v>0</v>
      </c>
      <c r="N53" s="416">
        <f t="shared" si="31"/>
        <v>0</v>
      </c>
      <c r="O53" s="196" t="str">
        <f t="shared" si="32"/>
        <v>-</v>
      </c>
      <c r="P53" s="230"/>
      <c r="Q53" s="416">
        <v>0</v>
      </c>
      <c r="R53" s="567">
        <v>0</v>
      </c>
      <c r="S53" s="416">
        <f t="shared" si="33"/>
        <v>0</v>
      </c>
      <c r="T53" s="1212" t="str">
        <f t="shared" si="34"/>
        <v>-</v>
      </c>
      <c r="U53" s="785"/>
      <c r="V53" s="397">
        <f t="shared" si="35"/>
        <v>0</v>
      </c>
      <c r="W53" s="416">
        <f t="shared" si="35"/>
        <v>0</v>
      </c>
      <c r="X53" s="604">
        <f t="shared" si="36"/>
        <v>0</v>
      </c>
      <c r="Y53" s="773" t="str">
        <f t="shared" si="37"/>
        <v>-</v>
      </c>
      <c r="Z53" s="953"/>
      <c r="AA53" s="397">
        <v>0</v>
      </c>
      <c r="AB53" s="416">
        <f t="shared" si="38"/>
        <v>0</v>
      </c>
      <c r="AC53" s="1313" t="str">
        <f t="shared" si="39"/>
        <v>-</v>
      </c>
      <c r="AD53" s="1164"/>
      <c r="AE53" s="1179"/>
    </row>
    <row r="54" spans="1:31" x14ac:dyDescent="0.3">
      <c r="A54" s="1096" t="s">
        <v>125</v>
      </c>
      <c r="B54" s="889">
        <v>0</v>
      </c>
      <c r="C54" s="891">
        <v>0</v>
      </c>
      <c r="D54" s="416">
        <f t="shared" si="27"/>
        <v>0</v>
      </c>
      <c r="E54" s="1003"/>
      <c r="F54" s="230"/>
      <c r="G54" s="1065">
        <v>0</v>
      </c>
      <c r="H54" s="1066">
        <v>0</v>
      </c>
      <c r="I54" s="416">
        <f t="shared" si="29"/>
        <v>0</v>
      </c>
      <c r="J54" s="1017"/>
      <c r="K54" s="785"/>
      <c r="L54" s="417">
        <v>0</v>
      </c>
      <c r="M54" s="567">
        <v>0</v>
      </c>
      <c r="N54" s="416">
        <f t="shared" si="31"/>
        <v>0</v>
      </c>
      <c r="O54" s="196"/>
      <c r="P54" s="230"/>
      <c r="Q54" s="416">
        <v>0</v>
      </c>
      <c r="R54" s="567">
        <v>0</v>
      </c>
      <c r="S54" s="416">
        <f t="shared" si="33"/>
        <v>0</v>
      </c>
      <c r="T54" s="1212"/>
      <c r="U54" s="785"/>
      <c r="V54" s="397">
        <f t="shared" si="35"/>
        <v>0</v>
      </c>
      <c r="W54" s="416">
        <f t="shared" si="35"/>
        <v>0</v>
      </c>
      <c r="X54" s="604">
        <f t="shared" si="36"/>
        <v>0</v>
      </c>
      <c r="Y54" s="773"/>
      <c r="Z54" s="953"/>
      <c r="AA54" s="397">
        <v>0</v>
      </c>
      <c r="AB54" s="416">
        <f t="shared" si="38"/>
        <v>0</v>
      </c>
      <c r="AC54" s="1313" t="str">
        <f t="shared" si="39"/>
        <v>-</v>
      </c>
      <c r="AD54" s="1164"/>
      <c r="AE54" s="1179"/>
    </row>
    <row r="55" spans="1:31" x14ac:dyDescent="0.3">
      <c r="A55" s="1096" t="s">
        <v>90</v>
      </c>
      <c r="B55" s="889">
        <v>0</v>
      </c>
      <c r="C55" s="891">
        <v>0</v>
      </c>
      <c r="D55" s="416">
        <f t="shared" si="27"/>
        <v>0</v>
      </c>
      <c r="E55" s="1003" t="str">
        <f t="shared" si="28"/>
        <v>-</v>
      </c>
      <c r="F55" s="230"/>
      <c r="G55" s="1065">
        <v>0</v>
      </c>
      <c r="H55" s="1066">
        <v>0</v>
      </c>
      <c r="I55" s="416">
        <f t="shared" si="29"/>
        <v>0</v>
      </c>
      <c r="J55" s="1017" t="str">
        <f t="shared" si="30"/>
        <v>-</v>
      </c>
      <c r="K55" s="785"/>
      <c r="L55" s="417">
        <v>0</v>
      </c>
      <c r="M55" s="567">
        <v>0</v>
      </c>
      <c r="N55" s="416">
        <f t="shared" si="31"/>
        <v>0</v>
      </c>
      <c r="O55" s="196" t="str">
        <f t="shared" si="32"/>
        <v>-</v>
      </c>
      <c r="P55" s="230"/>
      <c r="Q55" s="416">
        <v>0</v>
      </c>
      <c r="R55" s="567">
        <v>0</v>
      </c>
      <c r="S55" s="416">
        <f t="shared" si="33"/>
        <v>0</v>
      </c>
      <c r="T55" s="1212" t="str">
        <f t="shared" si="34"/>
        <v>-</v>
      </c>
      <c r="U55" s="785"/>
      <c r="V55" s="397">
        <f t="shared" si="35"/>
        <v>0</v>
      </c>
      <c r="W55" s="416">
        <f t="shared" si="35"/>
        <v>0</v>
      </c>
      <c r="X55" s="604">
        <f t="shared" si="36"/>
        <v>0</v>
      </c>
      <c r="Y55" s="773" t="str">
        <f t="shared" si="37"/>
        <v>-</v>
      </c>
      <c r="Z55" s="953"/>
      <c r="AA55" s="397">
        <v>0</v>
      </c>
      <c r="AB55" s="416">
        <v>0</v>
      </c>
      <c r="AC55" s="1313" t="str">
        <f t="shared" si="39"/>
        <v>-</v>
      </c>
      <c r="AD55" s="1164"/>
      <c r="AE55" s="1179"/>
    </row>
    <row r="56" spans="1:31" x14ac:dyDescent="0.3">
      <c r="A56" s="1096" t="s">
        <v>91</v>
      </c>
      <c r="B56" s="889">
        <v>0</v>
      </c>
      <c r="C56" s="891">
        <v>0</v>
      </c>
      <c r="D56" s="416">
        <f t="shared" si="27"/>
        <v>0</v>
      </c>
      <c r="E56" s="1003" t="str">
        <f t="shared" si="28"/>
        <v>-</v>
      </c>
      <c r="F56" s="230"/>
      <c r="G56" s="1065">
        <v>0</v>
      </c>
      <c r="H56" s="1066">
        <v>0</v>
      </c>
      <c r="I56" s="416">
        <f t="shared" si="29"/>
        <v>0</v>
      </c>
      <c r="J56" s="1017" t="str">
        <f t="shared" si="30"/>
        <v>-</v>
      </c>
      <c r="K56" s="785"/>
      <c r="L56" s="417">
        <v>0</v>
      </c>
      <c r="M56" s="567">
        <v>0</v>
      </c>
      <c r="N56" s="416">
        <f t="shared" si="31"/>
        <v>0</v>
      </c>
      <c r="O56" s="196" t="str">
        <f t="shared" si="32"/>
        <v>-</v>
      </c>
      <c r="P56" s="230"/>
      <c r="Q56" s="416">
        <v>0</v>
      </c>
      <c r="R56" s="567">
        <v>4264.4399999999996</v>
      </c>
      <c r="S56" s="416">
        <f t="shared" si="33"/>
        <v>4264.4399999999996</v>
      </c>
      <c r="T56" s="1212" t="str">
        <f t="shared" si="34"/>
        <v>-</v>
      </c>
      <c r="U56" s="785"/>
      <c r="V56" s="397">
        <f t="shared" si="35"/>
        <v>0</v>
      </c>
      <c r="W56" s="416">
        <f t="shared" si="35"/>
        <v>4264.4399999999996</v>
      </c>
      <c r="X56" s="604">
        <f t="shared" si="36"/>
        <v>4264.4399999999996</v>
      </c>
      <c r="Y56" s="773" t="str">
        <f t="shared" si="37"/>
        <v>-</v>
      </c>
      <c r="Z56" s="953"/>
      <c r="AA56" s="397">
        <v>5500</v>
      </c>
      <c r="AB56" s="416">
        <f t="shared" si="38"/>
        <v>1235.5600000000004</v>
      </c>
      <c r="AC56" s="1313">
        <f t="shared" si="39"/>
        <v>0.22464727272727281</v>
      </c>
      <c r="AD56" s="1164"/>
      <c r="AE56" s="1178"/>
    </row>
    <row r="57" spans="1:31" x14ac:dyDescent="0.3">
      <c r="A57" s="1096" t="s">
        <v>92</v>
      </c>
      <c r="B57" s="889">
        <v>3010</v>
      </c>
      <c r="C57" s="891">
        <v>685</v>
      </c>
      <c r="D57" s="416">
        <f t="shared" si="27"/>
        <v>-2325</v>
      </c>
      <c r="E57" s="1003">
        <f t="shared" si="28"/>
        <v>-0.77242524916943522</v>
      </c>
      <c r="F57" s="230"/>
      <c r="G57" s="1065">
        <v>3010</v>
      </c>
      <c r="H57" s="1066">
        <v>0</v>
      </c>
      <c r="I57" s="416">
        <f t="shared" si="29"/>
        <v>-3010</v>
      </c>
      <c r="J57" s="1017">
        <f t="shared" si="30"/>
        <v>-1</v>
      </c>
      <c r="K57" s="785"/>
      <c r="L57" s="417">
        <v>3010</v>
      </c>
      <c r="M57" s="567">
        <v>3765.28</v>
      </c>
      <c r="N57" s="416">
        <f t="shared" si="31"/>
        <v>755.2800000000002</v>
      </c>
      <c r="O57" s="196">
        <f t="shared" si="32"/>
        <v>0.2509235880398672</v>
      </c>
      <c r="P57" s="230"/>
      <c r="Q57" s="416">
        <v>3010</v>
      </c>
      <c r="R57" s="567">
        <v>16397.36</v>
      </c>
      <c r="S57" s="416">
        <f t="shared" si="33"/>
        <v>13387.36</v>
      </c>
      <c r="T57" s="1212">
        <f t="shared" si="34"/>
        <v>4.4476279069767441</v>
      </c>
      <c r="U57" s="785"/>
      <c r="V57" s="397">
        <f t="shared" si="35"/>
        <v>12040</v>
      </c>
      <c r="W57" s="416">
        <f t="shared" si="35"/>
        <v>20847.64</v>
      </c>
      <c r="X57" s="604">
        <f t="shared" si="36"/>
        <v>8807.64</v>
      </c>
      <c r="Y57" s="773">
        <f t="shared" si="37"/>
        <v>0.73153156146179399</v>
      </c>
      <c r="Z57" s="953"/>
      <c r="AA57" s="397">
        <v>12040</v>
      </c>
      <c r="AB57" s="416">
        <f t="shared" si="38"/>
        <v>-8807.64</v>
      </c>
      <c r="AC57" s="1313">
        <f t="shared" si="39"/>
        <v>-0.73153156146179399</v>
      </c>
      <c r="AD57" s="1164"/>
      <c r="AE57" s="1178"/>
    </row>
    <row r="58" spans="1:31" x14ac:dyDescent="0.3">
      <c r="A58" s="1096" t="s">
        <v>93</v>
      </c>
      <c r="B58" s="889">
        <v>1875</v>
      </c>
      <c r="C58" s="891">
        <v>2608.2199999999998</v>
      </c>
      <c r="D58" s="416">
        <f t="shared" si="27"/>
        <v>733.2199999999998</v>
      </c>
      <c r="E58" s="1003">
        <f t="shared" si="28"/>
        <v>0.39105066666666655</v>
      </c>
      <c r="F58" s="230"/>
      <c r="G58" s="1065">
        <v>1875</v>
      </c>
      <c r="H58" s="1066">
        <v>8429.67</v>
      </c>
      <c r="I58" s="416">
        <f t="shared" si="29"/>
        <v>6554.67</v>
      </c>
      <c r="J58" s="1017">
        <f t="shared" si="30"/>
        <v>3.4958239999999998</v>
      </c>
      <c r="K58" s="785"/>
      <c r="L58" s="417">
        <v>1875</v>
      </c>
      <c r="M58" s="567">
        <v>1725.38</v>
      </c>
      <c r="N58" s="416">
        <f t="shared" si="31"/>
        <v>-149.61999999999989</v>
      </c>
      <c r="O58" s="196">
        <f t="shared" si="32"/>
        <v>-7.9797333333333276E-2</v>
      </c>
      <c r="P58" s="230"/>
      <c r="Q58" s="416">
        <v>1875</v>
      </c>
      <c r="R58" s="567">
        <v>3277.59</v>
      </c>
      <c r="S58" s="416">
        <f t="shared" si="33"/>
        <v>1402.5900000000001</v>
      </c>
      <c r="T58" s="1212">
        <f t="shared" si="34"/>
        <v>0.74804800000000005</v>
      </c>
      <c r="U58" s="785"/>
      <c r="V58" s="397">
        <f t="shared" si="35"/>
        <v>7500</v>
      </c>
      <c r="W58" s="416">
        <f t="shared" si="35"/>
        <v>16040.86</v>
      </c>
      <c r="X58" s="604">
        <f t="shared" si="36"/>
        <v>8540.86</v>
      </c>
      <c r="Y58" s="773">
        <f t="shared" si="37"/>
        <v>1.1387813333333334</v>
      </c>
      <c r="Z58" s="953"/>
      <c r="AA58" s="397">
        <v>7500</v>
      </c>
      <c r="AB58" s="416">
        <f t="shared" si="38"/>
        <v>-8540.86</v>
      </c>
      <c r="AC58" s="1313">
        <f t="shared" si="39"/>
        <v>-1.1387813333333334</v>
      </c>
      <c r="AD58" s="1164"/>
      <c r="AE58" s="1179"/>
    </row>
    <row r="59" spans="1:31" x14ac:dyDescent="0.3">
      <c r="A59" s="1096" t="s">
        <v>94</v>
      </c>
      <c r="B59" s="889">
        <v>3500</v>
      </c>
      <c r="C59" s="891">
        <v>2433.35</v>
      </c>
      <c r="D59" s="416">
        <f t="shared" si="27"/>
        <v>-1066.6500000000001</v>
      </c>
      <c r="E59" s="1003">
        <f t="shared" si="28"/>
        <v>-0.30475714285714289</v>
      </c>
      <c r="F59" s="230"/>
      <c r="G59" s="1065">
        <v>3500</v>
      </c>
      <c r="H59" s="1066">
        <v>2628.38</v>
      </c>
      <c r="I59" s="416">
        <f t="shared" si="29"/>
        <v>-871.61999999999989</v>
      </c>
      <c r="J59" s="1017">
        <f t="shared" si="30"/>
        <v>-0.24903428571428568</v>
      </c>
      <c r="K59" s="785"/>
      <c r="L59" s="417">
        <v>3500</v>
      </c>
      <c r="M59" s="567">
        <v>4809.05</v>
      </c>
      <c r="N59" s="416">
        <f t="shared" si="31"/>
        <v>1309.0500000000002</v>
      </c>
      <c r="O59" s="196">
        <f t="shared" si="32"/>
        <v>0.37401428571428574</v>
      </c>
      <c r="P59" s="230"/>
      <c r="Q59" s="416">
        <v>3500</v>
      </c>
      <c r="R59" s="567">
        <v>2984.83</v>
      </c>
      <c r="S59" s="416">
        <f t="shared" si="33"/>
        <v>-515.17000000000007</v>
      </c>
      <c r="T59" s="1212">
        <f t="shared" si="34"/>
        <v>-0.14719142857142858</v>
      </c>
      <c r="U59" s="785"/>
      <c r="V59" s="397">
        <f t="shared" si="35"/>
        <v>14000</v>
      </c>
      <c r="W59" s="416">
        <f t="shared" si="35"/>
        <v>12855.609999999999</v>
      </c>
      <c r="X59" s="604">
        <f t="shared" si="36"/>
        <v>-1144.3900000000012</v>
      </c>
      <c r="Y59" s="773">
        <f t="shared" si="37"/>
        <v>-8.1742142857142944E-2</v>
      </c>
      <c r="Z59" s="953"/>
      <c r="AA59" s="397">
        <v>14000</v>
      </c>
      <c r="AB59" s="416">
        <f t="shared" si="38"/>
        <v>1144.3900000000012</v>
      </c>
      <c r="AC59" s="1313">
        <f t="shared" si="39"/>
        <v>8.1742142857142944E-2</v>
      </c>
      <c r="AD59" s="1164"/>
      <c r="AE59" s="1179"/>
    </row>
    <row r="60" spans="1:31" x14ac:dyDescent="0.3">
      <c r="A60" s="1096" t="s">
        <v>95</v>
      </c>
      <c r="B60" s="889">
        <v>21027.5</v>
      </c>
      <c r="C60" s="891">
        <v>13156.75</v>
      </c>
      <c r="D60" s="416">
        <f t="shared" si="27"/>
        <v>-7870.75</v>
      </c>
      <c r="E60" s="1003">
        <f t="shared" si="28"/>
        <v>-0.37430745452383785</v>
      </c>
      <c r="F60" s="171"/>
      <c r="G60" s="1065">
        <v>21027.5</v>
      </c>
      <c r="H60" s="1066">
        <v>22379.69</v>
      </c>
      <c r="I60" s="416">
        <f t="shared" si="29"/>
        <v>1352.1899999999987</v>
      </c>
      <c r="J60" s="1017">
        <f t="shared" si="30"/>
        <v>6.4305790036856436E-2</v>
      </c>
      <c r="K60" s="783"/>
      <c r="L60" s="417">
        <v>21027.5</v>
      </c>
      <c r="M60" s="567">
        <v>16775.87</v>
      </c>
      <c r="N60" s="416">
        <f t="shared" si="31"/>
        <v>-4251.630000000001</v>
      </c>
      <c r="O60" s="196">
        <f t="shared" si="32"/>
        <v>-0.20219379384139821</v>
      </c>
      <c r="P60" s="171"/>
      <c r="Q60" s="416">
        <v>21027.5</v>
      </c>
      <c r="R60" s="567">
        <v>11682.7</v>
      </c>
      <c r="S60" s="416">
        <f t="shared" si="33"/>
        <v>-9344.7999999999993</v>
      </c>
      <c r="T60" s="1212">
        <f t="shared" si="34"/>
        <v>-0.44440851266199022</v>
      </c>
      <c r="U60" s="783"/>
      <c r="V60" s="397">
        <f t="shared" si="35"/>
        <v>84110</v>
      </c>
      <c r="W60" s="416">
        <f t="shared" si="35"/>
        <v>63995.009999999995</v>
      </c>
      <c r="X60" s="604">
        <f t="shared" si="36"/>
        <v>-20114.990000000005</v>
      </c>
      <c r="Y60" s="773">
        <f t="shared" si="37"/>
        <v>-0.23915099274759249</v>
      </c>
      <c r="Z60" s="951"/>
      <c r="AA60" s="397">
        <v>84110</v>
      </c>
      <c r="AB60" s="416">
        <f t="shared" si="38"/>
        <v>20114.990000000005</v>
      </c>
      <c r="AC60" s="1313">
        <f t="shared" si="39"/>
        <v>0.23915099274759249</v>
      </c>
      <c r="AD60" s="1163"/>
      <c r="AE60" s="1179"/>
    </row>
    <row r="61" spans="1:31" x14ac:dyDescent="0.3">
      <c r="A61" s="1096" t="s">
        <v>96</v>
      </c>
      <c r="B61" s="889">
        <v>2250</v>
      </c>
      <c r="C61" s="891">
        <v>1489.22</v>
      </c>
      <c r="D61" s="416">
        <f t="shared" si="27"/>
        <v>-760.78</v>
      </c>
      <c r="E61" s="1003">
        <f t="shared" si="28"/>
        <v>-0.33812444444444445</v>
      </c>
      <c r="F61" s="171"/>
      <c r="G61" s="889">
        <v>2250</v>
      </c>
      <c r="H61" s="1066">
        <v>3592.69</v>
      </c>
      <c r="I61" s="416">
        <f t="shared" si="29"/>
        <v>1342.69</v>
      </c>
      <c r="J61" s="1017">
        <f t="shared" si="30"/>
        <v>0.59675111111111112</v>
      </c>
      <c r="K61" s="783"/>
      <c r="L61" s="417">
        <v>2250</v>
      </c>
      <c r="M61" s="567">
        <v>2473.21</v>
      </c>
      <c r="N61" s="416">
        <f t="shared" si="31"/>
        <v>223.21000000000004</v>
      </c>
      <c r="O61" s="196">
        <f t="shared" si="32"/>
        <v>9.9204444444444456E-2</v>
      </c>
      <c r="P61" s="171"/>
      <c r="Q61" s="416">
        <v>2250</v>
      </c>
      <c r="R61" s="567">
        <v>1023.5</v>
      </c>
      <c r="S61" s="416">
        <f t="shared" si="33"/>
        <v>-1226.5</v>
      </c>
      <c r="T61" s="1212">
        <f t="shared" si="34"/>
        <v>-0.5451111111111111</v>
      </c>
      <c r="U61" s="783"/>
      <c r="V61" s="397">
        <f t="shared" si="35"/>
        <v>9000</v>
      </c>
      <c r="W61" s="416">
        <f t="shared" si="35"/>
        <v>8578.619999999999</v>
      </c>
      <c r="X61" s="604">
        <f t="shared" si="36"/>
        <v>-421.38000000000102</v>
      </c>
      <c r="Y61" s="773">
        <f t="shared" si="37"/>
        <v>-4.6820000000000112E-2</v>
      </c>
      <c r="Z61" s="951"/>
      <c r="AA61" s="397">
        <v>9000</v>
      </c>
      <c r="AB61" s="416">
        <f>AA61-W61</f>
        <v>421.38000000000102</v>
      </c>
      <c r="AC61" s="1313">
        <f t="shared" si="39"/>
        <v>4.6820000000000112E-2</v>
      </c>
      <c r="AD61" s="1163"/>
      <c r="AE61" s="1179"/>
    </row>
    <row r="62" spans="1:31" x14ac:dyDescent="0.3">
      <c r="A62" s="1096" t="s">
        <v>110</v>
      </c>
      <c r="B62" s="889">
        <v>226750</v>
      </c>
      <c r="C62" s="891">
        <v>492205.47</v>
      </c>
      <c r="D62" s="416">
        <f t="shared" si="27"/>
        <v>265455.46999999997</v>
      </c>
      <c r="E62" s="1003">
        <f t="shared" si="28"/>
        <v>1.170696670341786</v>
      </c>
      <c r="F62" s="171"/>
      <c r="G62" s="889">
        <v>226750</v>
      </c>
      <c r="H62" s="1066">
        <v>219586.09</v>
      </c>
      <c r="I62" s="416">
        <f t="shared" si="29"/>
        <v>-7163.9100000000035</v>
      </c>
      <c r="J62" s="1017">
        <f t="shared" si="30"/>
        <v>-3.1593869900771787E-2</v>
      </c>
      <c r="K62" s="783"/>
      <c r="L62" s="417">
        <v>226750</v>
      </c>
      <c r="M62" s="567">
        <v>62067.08</v>
      </c>
      <c r="N62" s="416">
        <f t="shared" si="31"/>
        <v>-164682.91999999998</v>
      </c>
      <c r="O62" s="196">
        <f t="shared" si="32"/>
        <v>-0.7262752811466372</v>
      </c>
      <c r="P62" s="171"/>
      <c r="Q62" s="416">
        <v>226750</v>
      </c>
      <c r="R62" s="567">
        <v>63359.05</v>
      </c>
      <c r="S62" s="416">
        <f t="shared" si="33"/>
        <v>-163390.95000000001</v>
      </c>
      <c r="T62" s="1212">
        <f t="shared" si="34"/>
        <v>-0.72057750826901878</v>
      </c>
      <c r="U62" s="783"/>
      <c r="V62" s="397">
        <f t="shared" si="35"/>
        <v>907000</v>
      </c>
      <c r="W62" s="416">
        <f t="shared" si="35"/>
        <v>837217.69</v>
      </c>
      <c r="X62" s="604">
        <f t="shared" si="36"/>
        <v>-69782.310000000056</v>
      </c>
      <c r="Y62" s="773">
        <f t="shared" si="37"/>
        <v>-7.6937497243660474E-2</v>
      </c>
      <c r="Z62" s="951"/>
      <c r="AA62" s="397">
        <v>907000</v>
      </c>
      <c r="AB62" s="416">
        <f t="shared" si="38"/>
        <v>69782.310000000056</v>
      </c>
      <c r="AC62" s="1313">
        <f t="shared" si="39"/>
        <v>7.6937497243660474E-2</v>
      </c>
      <c r="AD62" s="1163"/>
      <c r="AE62" s="1179"/>
    </row>
    <row r="63" spans="1:31" x14ac:dyDescent="0.3">
      <c r="A63" s="1096" t="s">
        <v>124</v>
      </c>
      <c r="B63" s="889">
        <v>500</v>
      </c>
      <c r="C63" s="891">
        <v>0</v>
      </c>
      <c r="D63" s="416">
        <f t="shared" si="27"/>
        <v>-500</v>
      </c>
      <c r="E63" s="1003">
        <f t="shared" si="28"/>
        <v>-1</v>
      </c>
      <c r="F63" s="171"/>
      <c r="G63" s="1065">
        <v>500</v>
      </c>
      <c r="H63" s="1066">
        <v>0</v>
      </c>
      <c r="I63" s="416">
        <f t="shared" si="29"/>
        <v>-500</v>
      </c>
      <c r="J63" s="1017">
        <f t="shared" si="30"/>
        <v>-1</v>
      </c>
      <c r="K63" s="783"/>
      <c r="L63" s="417">
        <v>500</v>
      </c>
      <c r="M63" s="567">
        <v>0</v>
      </c>
      <c r="N63" s="416">
        <f t="shared" si="31"/>
        <v>-500</v>
      </c>
      <c r="O63" s="196">
        <f t="shared" si="32"/>
        <v>-1</v>
      </c>
      <c r="P63" s="171"/>
      <c r="Q63" s="416">
        <v>500</v>
      </c>
      <c r="R63" s="567">
        <v>0</v>
      </c>
      <c r="S63" s="416">
        <f t="shared" si="33"/>
        <v>-500</v>
      </c>
      <c r="T63" s="1212">
        <f t="shared" si="34"/>
        <v>-1</v>
      </c>
      <c r="U63" s="783"/>
      <c r="V63" s="397">
        <f t="shared" si="35"/>
        <v>2000</v>
      </c>
      <c r="W63" s="416">
        <f t="shared" si="35"/>
        <v>0</v>
      </c>
      <c r="X63" s="604">
        <f t="shared" si="36"/>
        <v>-2000</v>
      </c>
      <c r="Y63" s="773">
        <f t="shared" si="37"/>
        <v>-1</v>
      </c>
      <c r="Z63" s="951"/>
      <c r="AA63" s="397">
        <v>2000</v>
      </c>
      <c r="AB63" s="416">
        <f t="shared" si="38"/>
        <v>2000</v>
      </c>
      <c r="AC63" s="1313">
        <f t="shared" si="39"/>
        <v>1</v>
      </c>
      <c r="AD63" s="1163"/>
      <c r="AE63" s="1179"/>
    </row>
    <row r="64" spans="1:31" x14ac:dyDescent="0.3">
      <c r="A64" s="1096" t="s">
        <v>123</v>
      </c>
      <c r="B64" s="889">
        <v>0</v>
      </c>
      <c r="C64" s="891">
        <v>0</v>
      </c>
      <c r="D64" s="416">
        <f t="shared" si="27"/>
        <v>0</v>
      </c>
      <c r="E64" s="1003" t="str">
        <f t="shared" si="28"/>
        <v>-</v>
      </c>
      <c r="F64" s="230"/>
      <c r="G64" s="1065">
        <v>0</v>
      </c>
      <c r="H64" s="1066">
        <v>0</v>
      </c>
      <c r="I64" s="416">
        <f t="shared" si="29"/>
        <v>0</v>
      </c>
      <c r="J64" s="1017" t="str">
        <f t="shared" si="30"/>
        <v>-</v>
      </c>
      <c r="K64" s="785"/>
      <c r="L64" s="417">
        <v>0</v>
      </c>
      <c r="M64" s="567">
        <v>0</v>
      </c>
      <c r="N64" s="416">
        <f t="shared" si="31"/>
        <v>0</v>
      </c>
      <c r="O64" s="196" t="str">
        <f t="shared" si="32"/>
        <v>-</v>
      </c>
      <c r="P64" s="230"/>
      <c r="Q64" s="416">
        <v>0</v>
      </c>
      <c r="R64" s="567">
        <v>0</v>
      </c>
      <c r="S64" s="416">
        <f t="shared" si="33"/>
        <v>0</v>
      </c>
      <c r="T64" s="1212" t="str">
        <f t="shared" si="34"/>
        <v>-</v>
      </c>
      <c r="U64" s="785"/>
      <c r="V64" s="397">
        <f t="shared" si="35"/>
        <v>0</v>
      </c>
      <c r="W64" s="416">
        <f t="shared" si="35"/>
        <v>0</v>
      </c>
      <c r="X64" s="604">
        <f t="shared" si="36"/>
        <v>0</v>
      </c>
      <c r="Y64" s="773" t="str">
        <f t="shared" si="37"/>
        <v>-</v>
      </c>
      <c r="Z64" s="953"/>
      <c r="AA64" s="397">
        <v>0</v>
      </c>
      <c r="AB64" s="416">
        <f t="shared" si="38"/>
        <v>0</v>
      </c>
      <c r="AC64" s="1313" t="str">
        <f t="shared" si="39"/>
        <v>-</v>
      </c>
      <c r="AD64" s="1164"/>
      <c r="AE64" s="1179"/>
    </row>
    <row r="65" spans="1:31" x14ac:dyDescent="0.3">
      <c r="A65" s="1096" t="s">
        <v>122</v>
      </c>
      <c r="B65" s="889">
        <v>0</v>
      </c>
      <c r="C65" s="891">
        <v>0</v>
      </c>
      <c r="D65" s="416">
        <f t="shared" si="27"/>
        <v>0</v>
      </c>
      <c r="E65" s="1003" t="str">
        <f t="shared" si="28"/>
        <v>-</v>
      </c>
      <c r="F65" s="230"/>
      <c r="G65" s="1065">
        <v>0</v>
      </c>
      <c r="H65" s="1066">
        <v>0</v>
      </c>
      <c r="I65" s="416">
        <f t="shared" si="29"/>
        <v>0</v>
      </c>
      <c r="J65" s="1017" t="str">
        <f t="shared" si="30"/>
        <v>-</v>
      </c>
      <c r="K65" s="785"/>
      <c r="L65" s="417">
        <v>0</v>
      </c>
      <c r="M65" s="567">
        <v>0</v>
      </c>
      <c r="N65" s="416">
        <f t="shared" si="31"/>
        <v>0</v>
      </c>
      <c r="O65" s="196" t="str">
        <f t="shared" si="32"/>
        <v>-</v>
      </c>
      <c r="P65" s="230"/>
      <c r="Q65" s="416">
        <v>0</v>
      </c>
      <c r="R65" s="567">
        <v>5000</v>
      </c>
      <c r="S65" s="416">
        <f t="shared" si="33"/>
        <v>5000</v>
      </c>
      <c r="T65" s="1212" t="str">
        <f t="shared" si="34"/>
        <v>-</v>
      </c>
      <c r="U65" s="785"/>
      <c r="V65" s="397">
        <f t="shared" si="35"/>
        <v>0</v>
      </c>
      <c r="W65" s="416">
        <f t="shared" si="35"/>
        <v>5000</v>
      </c>
      <c r="X65" s="604">
        <f t="shared" si="36"/>
        <v>5000</v>
      </c>
      <c r="Y65" s="773" t="str">
        <f t="shared" si="37"/>
        <v>-</v>
      </c>
      <c r="Z65" s="953"/>
      <c r="AA65" s="397">
        <v>5000</v>
      </c>
      <c r="AB65" s="416">
        <f t="shared" si="38"/>
        <v>0</v>
      </c>
      <c r="AC65" s="1313">
        <f t="shared" si="39"/>
        <v>0</v>
      </c>
      <c r="AD65" s="1164"/>
      <c r="AE65" s="1178"/>
    </row>
    <row r="66" spans="1:31" x14ac:dyDescent="0.3">
      <c r="A66" s="1096" t="s">
        <v>114</v>
      </c>
      <c r="B66" s="889">
        <v>0</v>
      </c>
      <c r="C66" s="891">
        <v>0</v>
      </c>
      <c r="D66" s="416">
        <f t="shared" si="27"/>
        <v>0</v>
      </c>
      <c r="E66" s="1003" t="str">
        <f t="shared" si="28"/>
        <v>-</v>
      </c>
      <c r="F66" s="230"/>
      <c r="G66" s="1065">
        <v>0</v>
      </c>
      <c r="H66" s="1066">
        <v>0</v>
      </c>
      <c r="I66" s="416">
        <f t="shared" si="29"/>
        <v>0</v>
      </c>
      <c r="J66" s="1017" t="str">
        <f t="shared" si="30"/>
        <v>-</v>
      </c>
      <c r="K66" s="785"/>
      <c r="L66" s="417">
        <v>0</v>
      </c>
      <c r="M66" s="567">
        <v>0</v>
      </c>
      <c r="N66" s="416">
        <f t="shared" si="31"/>
        <v>0</v>
      </c>
      <c r="O66" s="196" t="str">
        <f t="shared" si="32"/>
        <v>-</v>
      </c>
      <c r="P66" s="230"/>
      <c r="Q66" s="416">
        <v>0</v>
      </c>
      <c r="R66" s="567">
        <v>1424.74</v>
      </c>
      <c r="S66" s="416">
        <f t="shared" si="33"/>
        <v>1424.74</v>
      </c>
      <c r="T66" s="1212" t="str">
        <f t="shared" si="34"/>
        <v>-</v>
      </c>
      <c r="U66" s="785"/>
      <c r="V66" s="397">
        <f t="shared" si="35"/>
        <v>0</v>
      </c>
      <c r="W66" s="416">
        <f t="shared" si="35"/>
        <v>1424.74</v>
      </c>
      <c r="X66" s="604">
        <f t="shared" si="36"/>
        <v>1424.74</v>
      </c>
      <c r="Y66" s="773" t="str">
        <f t="shared" si="37"/>
        <v>-</v>
      </c>
      <c r="Z66" s="953"/>
      <c r="AA66" s="397">
        <v>2000</v>
      </c>
      <c r="AB66" s="416">
        <f t="shared" si="38"/>
        <v>575.26</v>
      </c>
      <c r="AC66" s="1313">
        <f t="shared" si="39"/>
        <v>0.28763</v>
      </c>
      <c r="AD66" s="1164"/>
      <c r="AE66" s="1179"/>
    </row>
    <row r="67" spans="1:31" x14ac:dyDescent="0.3">
      <c r="A67" s="1096" t="s">
        <v>115</v>
      </c>
      <c r="B67" s="889">
        <v>0</v>
      </c>
      <c r="C67" s="891">
        <v>0</v>
      </c>
      <c r="D67" s="416">
        <f t="shared" si="27"/>
        <v>0</v>
      </c>
      <c r="E67" s="1003" t="str">
        <f t="shared" si="28"/>
        <v>-</v>
      </c>
      <c r="F67" s="171"/>
      <c r="G67" s="1065">
        <v>0</v>
      </c>
      <c r="H67" s="1066">
        <v>0</v>
      </c>
      <c r="I67" s="416">
        <f t="shared" si="29"/>
        <v>0</v>
      </c>
      <c r="J67" s="1017" t="str">
        <f t="shared" si="30"/>
        <v>-</v>
      </c>
      <c r="K67" s="783"/>
      <c r="L67" s="417">
        <v>0</v>
      </c>
      <c r="M67" s="567">
        <v>0</v>
      </c>
      <c r="N67" s="416">
        <f t="shared" si="31"/>
        <v>0</v>
      </c>
      <c r="O67" s="196" t="str">
        <f t="shared" si="32"/>
        <v>-</v>
      </c>
      <c r="P67" s="171"/>
      <c r="Q67" s="416">
        <v>0</v>
      </c>
      <c r="R67" s="567">
        <v>0</v>
      </c>
      <c r="S67" s="416">
        <f t="shared" si="33"/>
        <v>0</v>
      </c>
      <c r="T67" s="1212" t="str">
        <f t="shared" si="34"/>
        <v>-</v>
      </c>
      <c r="U67" s="783"/>
      <c r="V67" s="397">
        <f t="shared" si="35"/>
        <v>0</v>
      </c>
      <c r="W67" s="416">
        <f t="shared" si="35"/>
        <v>0</v>
      </c>
      <c r="X67" s="604">
        <f t="shared" si="36"/>
        <v>0</v>
      </c>
      <c r="Y67" s="773" t="str">
        <f t="shared" si="37"/>
        <v>-</v>
      </c>
      <c r="Z67" s="951"/>
      <c r="AA67" s="397">
        <v>0</v>
      </c>
      <c r="AB67" s="416">
        <f t="shared" si="38"/>
        <v>0</v>
      </c>
      <c r="AC67" s="1313" t="str">
        <f t="shared" si="39"/>
        <v>-</v>
      </c>
      <c r="AD67" s="1163"/>
      <c r="AE67" s="1178"/>
    </row>
    <row r="68" spans="1:31" x14ac:dyDescent="0.3">
      <c r="A68" s="1096" t="s">
        <v>121</v>
      </c>
      <c r="B68" s="889">
        <v>0</v>
      </c>
      <c r="C68" s="891">
        <v>0</v>
      </c>
      <c r="D68" s="416">
        <f t="shared" si="27"/>
        <v>0</v>
      </c>
      <c r="E68" s="1003" t="str">
        <f t="shared" si="28"/>
        <v>-</v>
      </c>
      <c r="F68" s="230"/>
      <c r="G68" s="1065">
        <v>0</v>
      </c>
      <c r="H68" s="1066">
        <v>0</v>
      </c>
      <c r="I68" s="416">
        <f t="shared" si="29"/>
        <v>0</v>
      </c>
      <c r="J68" s="1017" t="str">
        <f t="shared" si="30"/>
        <v>-</v>
      </c>
      <c r="K68" s="785"/>
      <c r="L68" s="417">
        <v>0</v>
      </c>
      <c r="M68" s="567">
        <v>0</v>
      </c>
      <c r="N68" s="416">
        <f t="shared" si="31"/>
        <v>0</v>
      </c>
      <c r="O68" s="196" t="str">
        <f t="shared" si="32"/>
        <v>-</v>
      </c>
      <c r="P68" s="230"/>
      <c r="Q68" s="416">
        <v>0</v>
      </c>
      <c r="R68" s="567">
        <v>0</v>
      </c>
      <c r="S68" s="416">
        <f t="shared" si="33"/>
        <v>0</v>
      </c>
      <c r="T68" s="1212" t="str">
        <f t="shared" si="34"/>
        <v>-</v>
      </c>
      <c r="U68" s="785"/>
      <c r="V68" s="397">
        <f t="shared" si="35"/>
        <v>0</v>
      </c>
      <c r="W68" s="416">
        <f t="shared" si="35"/>
        <v>0</v>
      </c>
      <c r="X68" s="604">
        <f t="shared" si="36"/>
        <v>0</v>
      </c>
      <c r="Y68" s="773" t="str">
        <f t="shared" si="37"/>
        <v>-</v>
      </c>
      <c r="Z68" s="953"/>
      <c r="AA68" s="397">
        <v>0</v>
      </c>
      <c r="AB68" s="416">
        <f t="shared" si="38"/>
        <v>0</v>
      </c>
      <c r="AC68" s="1313" t="str">
        <f t="shared" si="39"/>
        <v>-</v>
      </c>
      <c r="AD68" s="1164"/>
      <c r="AE68" s="1178"/>
    </row>
    <row r="69" spans="1:31" x14ac:dyDescent="0.3">
      <c r="A69" s="1096" t="s">
        <v>97</v>
      </c>
      <c r="B69" s="889">
        <v>510</v>
      </c>
      <c r="C69" s="891">
        <v>0</v>
      </c>
      <c r="D69" s="416">
        <f t="shared" si="27"/>
        <v>-510</v>
      </c>
      <c r="E69" s="1003">
        <f t="shared" si="28"/>
        <v>-1</v>
      </c>
      <c r="F69" s="230"/>
      <c r="G69" s="1065">
        <v>510</v>
      </c>
      <c r="H69" s="1066">
        <v>0</v>
      </c>
      <c r="I69" s="416">
        <f t="shared" si="29"/>
        <v>-510</v>
      </c>
      <c r="J69" s="1017">
        <f t="shared" si="30"/>
        <v>-1</v>
      </c>
      <c r="K69" s="785"/>
      <c r="L69" s="417">
        <v>510</v>
      </c>
      <c r="M69" s="567">
        <v>0</v>
      </c>
      <c r="N69" s="416">
        <f t="shared" si="31"/>
        <v>-510</v>
      </c>
      <c r="O69" s="196">
        <f t="shared" si="32"/>
        <v>-1</v>
      </c>
      <c r="P69" s="230"/>
      <c r="Q69" s="416">
        <v>510</v>
      </c>
      <c r="R69" s="567">
        <v>0</v>
      </c>
      <c r="S69" s="416">
        <f t="shared" si="33"/>
        <v>-510</v>
      </c>
      <c r="T69" s="1212">
        <f t="shared" si="34"/>
        <v>-1</v>
      </c>
      <c r="U69" s="785"/>
      <c r="V69" s="397">
        <f t="shared" si="35"/>
        <v>2040</v>
      </c>
      <c r="W69" s="416">
        <f t="shared" si="35"/>
        <v>0</v>
      </c>
      <c r="X69" s="604">
        <f t="shared" si="36"/>
        <v>-2040</v>
      </c>
      <c r="Y69" s="773">
        <f t="shared" si="37"/>
        <v>-1</v>
      </c>
      <c r="Z69" s="953"/>
      <c r="AA69" s="397">
        <v>2040</v>
      </c>
      <c r="AB69" s="416">
        <f t="shared" si="38"/>
        <v>2040</v>
      </c>
      <c r="AC69" s="1313">
        <f t="shared" si="39"/>
        <v>1</v>
      </c>
      <c r="AD69" s="1164"/>
      <c r="AE69" s="1179"/>
    </row>
    <row r="70" spans="1:31" x14ac:dyDescent="0.3">
      <c r="A70" s="1096" t="s">
        <v>98</v>
      </c>
      <c r="B70" s="889">
        <v>0</v>
      </c>
      <c r="C70" s="891">
        <v>0</v>
      </c>
      <c r="D70" s="416">
        <f t="shared" si="27"/>
        <v>0</v>
      </c>
      <c r="E70" s="1003" t="str">
        <f t="shared" si="28"/>
        <v>-</v>
      </c>
      <c r="F70" s="171"/>
      <c r="G70" s="1065">
        <v>0</v>
      </c>
      <c r="H70" s="1066">
        <v>0</v>
      </c>
      <c r="I70" s="416">
        <f t="shared" si="29"/>
        <v>0</v>
      </c>
      <c r="J70" s="1017" t="str">
        <f t="shared" si="30"/>
        <v>-</v>
      </c>
      <c r="K70" s="783"/>
      <c r="L70" s="417">
        <v>0</v>
      </c>
      <c r="M70" s="567">
        <v>0</v>
      </c>
      <c r="N70" s="416">
        <f t="shared" si="31"/>
        <v>0</v>
      </c>
      <c r="O70" s="196" t="str">
        <f t="shared" si="32"/>
        <v>-</v>
      </c>
      <c r="P70" s="171"/>
      <c r="Q70" s="416">
        <v>0</v>
      </c>
      <c r="R70" s="567">
        <v>0</v>
      </c>
      <c r="S70" s="416">
        <f t="shared" si="33"/>
        <v>0</v>
      </c>
      <c r="T70" s="1212" t="str">
        <f t="shared" si="34"/>
        <v>-</v>
      </c>
      <c r="U70" s="783"/>
      <c r="V70" s="397">
        <f t="shared" si="35"/>
        <v>0</v>
      </c>
      <c r="W70" s="416">
        <f t="shared" si="35"/>
        <v>0</v>
      </c>
      <c r="X70" s="604">
        <f t="shared" si="36"/>
        <v>0</v>
      </c>
      <c r="Y70" s="773" t="str">
        <f t="shared" si="37"/>
        <v>-</v>
      </c>
      <c r="Z70" s="951"/>
      <c r="AA70" s="397">
        <v>0</v>
      </c>
      <c r="AB70" s="416">
        <f t="shared" si="38"/>
        <v>0</v>
      </c>
      <c r="AC70" s="1313" t="str">
        <f t="shared" si="39"/>
        <v>-</v>
      </c>
      <c r="AD70" s="1163"/>
      <c r="AE70" s="1179"/>
    </row>
    <row r="71" spans="1:31" x14ac:dyDescent="0.3">
      <c r="A71" s="1096" t="s">
        <v>116</v>
      </c>
      <c r="B71" s="889">
        <v>0</v>
      </c>
      <c r="C71" s="891">
        <v>0</v>
      </c>
      <c r="D71" s="416">
        <f t="shared" si="27"/>
        <v>0</v>
      </c>
      <c r="E71" s="1003" t="str">
        <f t="shared" si="28"/>
        <v>-</v>
      </c>
      <c r="F71" s="230"/>
      <c r="G71" s="1065">
        <v>0</v>
      </c>
      <c r="H71" s="1066">
        <v>0</v>
      </c>
      <c r="I71" s="416">
        <f t="shared" si="29"/>
        <v>0</v>
      </c>
      <c r="J71" s="1017" t="str">
        <f t="shared" si="30"/>
        <v>-</v>
      </c>
      <c r="K71" s="785"/>
      <c r="L71" s="417">
        <v>0</v>
      </c>
      <c r="M71" s="567">
        <v>0</v>
      </c>
      <c r="N71" s="416">
        <f t="shared" si="31"/>
        <v>0</v>
      </c>
      <c r="O71" s="196" t="str">
        <f t="shared" si="32"/>
        <v>-</v>
      </c>
      <c r="P71" s="230"/>
      <c r="Q71" s="416">
        <v>0</v>
      </c>
      <c r="R71" s="604">
        <v>0</v>
      </c>
      <c r="S71" s="604">
        <f t="shared" si="33"/>
        <v>0</v>
      </c>
      <c r="T71" s="1212" t="str">
        <f t="shared" si="34"/>
        <v>-</v>
      </c>
      <c r="U71" s="785"/>
      <c r="V71" s="397">
        <f t="shared" si="35"/>
        <v>0</v>
      </c>
      <c r="W71" s="416">
        <f t="shared" si="35"/>
        <v>0</v>
      </c>
      <c r="X71" s="604">
        <f t="shared" si="36"/>
        <v>0</v>
      </c>
      <c r="Y71" s="773" t="str">
        <f t="shared" si="37"/>
        <v>-</v>
      </c>
      <c r="Z71" s="953"/>
      <c r="AA71" s="397">
        <v>0</v>
      </c>
      <c r="AB71" s="416">
        <f t="shared" si="38"/>
        <v>0</v>
      </c>
      <c r="AC71" s="1313" t="str">
        <f t="shared" si="39"/>
        <v>-</v>
      </c>
      <c r="AD71" s="1164"/>
      <c r="AE71" s="1179"/>
    </row>
    <row r="72" spans="1:31" x14ac:dyDescent="0.3">
      <c r="A72" s="1096" t="s">
        <v>99</v>
      </c>
      <c r="B72" s="889">
        <v>0</v>
      </c>
      <c r="C72" s="891">
        <v>0</v>
      </c>
      <c r="D72" s="416">
        <f t="shared" si="27"/>
        <v>0</v>
      </c>
      <c r="E72" s="1003" t="str">
        <f t="shared" si="28"/>
        <v>-</v>
      </c>
      <c r="F72" s="171"/>
      <c r="G72" s="1065">
        <v>0</v>
      </c>
      <c r="H72" s="1066">
        <v>0</v>
      </c>
      <c r="I72" s="416">
        <f t="shared" si="29"/>
        <v>0</v>
      </c>
      <c r="J72" s="1017" t="str">
        <f t="shared" si="30"/>
        <v>-</v>
      </c>
      <c r="K72" s="783"/>
      <c r="L72" s="417">
        <v>0</v>
      </c>
      <c r="M72" s="567">
        <v>0</v>
      </c>
      <c r="N72" s="416">
        <f t="shared" si="31"/>
        <v>0</v>
      </c>
      <c r="O72" s="196" t="str">
        <f t="shared" si="32"/>
        <v>-</v>
      </c>
      <c r="P72" s="171"/>
      <c r="Q72" s="416">
        <v>0</v>
      </c>
      <c r="R72" s="604">
        <v>0</v>
      </c>
      <c r="S72" s="567">
        <v>0</v>
      </c>
      <c r="T72" s="1212" t="str">
        <f t="shared" si="34"/>
        <v>-</v>
      </c>
      <c r="U72" s="783"/>
      <c r="V72" s="397">
        <f t="shared" si="35"/>
        <v>0</v>
      </c>
      <c r="W72" s="416">
        <f t="shared" si="35"/>
        <v>0</v>
      </c>
      <c r="X72" s="604">
        <f t="shared" si="36"/>
        <v>0</v>
      </c>
      <c r="Y72" s="773" t="str">
        <f t="shared" si="37"/>
        <v>-</v>
      </c>
      <c r="Z72" s="951"/>
      <c r="AA72" s="397">
        <v>0</v>
      </c>
      <c r="AB72" s="416">
        <f t="shared" si="38"/>
        <v>0</v>
      </c>
      <c r="AC72" s="1313" t="str">
        <f t="shared" si="39"/>
        <v>-</v>
      </c>
      <c r="AD72" s="1163"/>
      <c r="AE72" s="1179"/>
    </row>
    <row r="73" spans="1:31" x14ac:dyDescent="0.3">
      <c r="A73" s="1096" t="s">
        <v>100</v>
      </c>
      <c r="B73" s="889">
        <v>0</v>
      </c>
      <c r="C73" s="891">
        <v>0</v>
      </c>
      <c r="D73" s="416">
        <f t="shared" si="27"/>
        <v>0</v>
      </c>
      <c r="E73" s="1003" t="str">
        <f t="shared" si="28"/>
        <v>-</v>
      </c>
      <c r="F73" s="230"/>
      <c r="G73" s="1065">
        <v>0</v>
      </c>
      <c r="H73" s="1066">
        <v>0</v>
      </c>
      <c r="I73" s="416">
        <f t="shared" si="29"/>
        <v>0</v>
      </c>
      <c r="J73" s="1017" t="str">
        <f t="shared" si="30"/>
        <v>-</v>
      </c>
      <c r="K73" s="785"/>
      <c r="L73" s="567">
        <v>0</v>
      </c>
      <c r="M73" s="567">
        <v>0</v>
      </c>
      <c r="N73" s="416">
        <f t="shared" si="31"/>
        <v>0</v>
      </c>
      <c r="O73" s="196" t="str">
        <f t="shared" si="32"/>
        <v>-</v>
      </c>
      <c r="P73" s="230"/>
      <c r="Q73" s="416">
        <v>0</v>
      </c>
      <c r="R73" s="604">
        <v>0</v>
      </c>
      <c r="S73" s="604">
        <f t="shared" si="33"/>
        <v>0</v>
      </c>
      <c r="T73" s="1212"/>
      <c r="U73" s="785"/>
      <c r="V73" s="397">
        <f t="shared" si="35"/>
        <v>0</v>
      </c>
      <c r="W73" s="416">
        <f t="shared" si="35"/>
        <v>0</v>
      </c>
      <c r="X73" s="604">
        <f t="shared" si="36"/>
        <v>0</v>
      </c>
      <c r="Y73" s="773" t="str">
        <f t="shared" si="37"/>
        <v>-</v>
      </c>
      <c r="Z73" s="953"/>
      <c r="AA73" s="397">
        <v>0</v>
      </c>
      <c r="AB73" s="416">
        <f t="shared" si="38"/>
        <v>0</v>
      </c>
      <c r="AC73" s="1313" t="str">
        <f t="shared" si="39"/>
        <v>-</v>
      </c>
      <c r="AD73" s="1164"/>
      <c r="AE73" s="1178"/>
    </row>
    <row r="74" spans="1:31" x14ac:dyDescent="0.3">
      <c r="A74" s="1271" t="s">
        <v>101</v>
      </c>
      <c r="B74" s="889">
        <v>3120</v>
      </c>
      <c r="C74" s="891">
        <v>1299.0899999999999</v>
      </c>
      <c r="D74" s="416">
        <f t="shared" si="27"/>
        <v>-1820.91</v>
      </c>
      <c r="E74" s="1003">
        <f t="shared" si="28"/>
        <v>-0.58362500000000006</v>
      </c>
      <c r="F74" s="171"/>
      <c r="G74" s="1065">
        <v>3120</v>
      </c>
      <c r="H74" s="1066">
        <v>1897.01</v>
      </c>
      <c r="I74" s="416">
        <f t="shared" si="29"/>
        <v>-1222.99</v>
      </c>
      <c r="J74" s="1017">
        <f t="shared" si="30"/>
        <v>-0.39198397435897436</v>
      </c>
      <c r="K74" s="783"/>
      <c r="L74" s="567">
        <v>3120</v>
      </c>
      <c r="M74" s="414">
        <v>2060.5</v>
      </c>
      <c r="N74" s="416">
        <f t="shared" si="31"/>
        <v>-1059.5</v>
      </c>
      <c r="O74" s="196">
        <f>IF(ISERROR(N74/L74),"-",N74/L74)</f>
        <v>-0.33958333333333335</v>
      </c>
      <c r="P74" s="171"/>
      <c r="Q74" s="416">
        <v>3120</v>
      </c>
      <c r="R74" s="604">
        <v>2325.59</v>
      </c>
      <c r="S74" s="604">
        <f t="shared" si="33"/>
        <v>-794.40999999999985</v>
      </c>
      <c r="T74" s="1212">
        <f>IF(ISERROR(S74/Q74),"-",S74/Q74)</f>
        <v>-0.2546185897435897</v>
      </c>
      <c r="U74" s="783"/>
      <c r="V74" s="397">
        <f t="shared" si="35"/>
        <v>12480</v>
      </c>
      <c r="W74" s="416">
        <f t="shared" si="35"/>
        <v>7582.1900000000005</v>
      </c>
      <c r="X74" s="604">
        <f t="shared" si="36"/>
        <v>-4897.8099999999995</v>
      </c>
      <c r="Y74" s="773">
        <f t="shared" si="37"/>
        <v>-0.39245272435897433</v>
      </c>
      <c r="Z74" s="951"/>
      <c r="AA74" s="397">
        <v>12480</v>
      </c>
      <c r="AB74" s="416">
        <f t="shared" si="38"/>
        <v>4897.8099999999995</v>
      </c>
      <c r="AC74" s="1313">
        <f t="shared" si="39"/>
        <v>0.39245272435897433</v>
      </c>
      <c r="AD74" s="1163"/>
      <c r="AE74" s="1178"/>
    </row>
    <row r="75" spans="1:31" x14ac:dyDescent="0.3">
      <c r="A75" s="1272" t="s">
        <v>120</v>
      </c>
      <c r="B75" s="889">
        <v>0</v>
      </c>
      <c r="C75" s="891">
        <v>0</v>
      </c>
      <c r="D75" s="416">
        <f t="shared" si="27"/>
        <v>0</v>
      </c>
      <c r="E75" s="1003" t="str">
        <f t="shared" si="28"/>
        <v>-</v>
      </c>
      <c r="F75" s="171"/>
      <c r="G75" s="1065">
        <v>0</v>
      </c>
      <c r="H75" s="1066">
        <v>0</v>
      </c>
      <c r="I75" s="416">
        <f t="shared" si="29"/>
        <v>0</v>
      </c>
      <c r="J75" s="1017" t="str">
        <f t="shared" si="30"/>
        <v>-</v>
      </c>
      <c r="K75" s="783"/>
      <c r="L75" s="567">
        <v>0</v>
      </c>
      <c r="M75" s="567">
        <v>0</v>
      </c>
      <c r="N75" s="416">
        <f t="shared" si="31"/>
        <v>0</v>
      </c>
      <c r="O75" s="196" t="str">
        <f>IF(ISERROR(N75/L75),"-",N75/L75)</f>
        <v>-</v>
      </c>
      <c r="P75" s="171"/>
      <c r="Q75" s="418">
        <v>0</v>
      </c>
      <c r="R75" s="567">
        <v>0</v>
      </c>
      <c r="S75" s="416">
        <f t="shared" si="33"/>
        <v>0</v>
      </c>
      <c r="T75" s="1212" t="str">
        <f>IF(ISERROR(S75/Q75),"-",S75/Q75)</f>
        <v>-</v>
      </c>
      <c r="U75" s="783"/>
      <c r="V75" s="397">
        <f t="shared" si="35"/>
        <v>0</v>
      </c>
      <c r="W75" s="416">
        <f t="shared" si="35"/>
        <v>0</v>
      </c>
      <c r="X75" s="604">
        <f t="shared" si="36"/>
        <v>0</v>
      </c>
      <c r="Y75" s="773" t="str">
        <f t="shared" si="37"/>
        <v>-</v>
      </c>
      <c r="Z75" s="951"/>
      <c r="AA75" s="397">
        <v>0</v>
      </c>
      <c r="AB75" s="416">
        <f t="shared" si="38"/>
        <v>0</v>
      </c>
      <c r="AC75" s="1313" t="str">
        <f t="shared" si="39"/>
        <v>-</v>
      </c>
      <c r="AD75" s="1163"/>
      <c r="AE75" s="1178"/>
    </row>
    <row r="76" spans="1:31" x14ac:dyDescent="0.3">
      <c r="A76" s="1265" t="s">
        <v>102</v>
      </c>
      <c r="B76" s="1046">
        <f>SUM(B43:B75)</f>
        <v>265317.5</v>
      </c>
      <c r="C76" s="1058">
        <f>SUM(C43:C75)</f>
        <v>515484.92</v>
      </c>
      <c r="D76" s="1232">
        <f>SUM(D43:D75)</f>
        <v>250167.41999999995</v>
      </c>
      <c r="E76" s="1303">
        <f t="shared" si="28"/>
        <v>0.94289830109208761</v>
      </c>
      <c r="F76" s="1363"/>
      <c r="G76" s="1046">
        <f>SUM(G43:G75)</f>
        <v>265317.5</v>
      </c>
      <c r="H76" s="1058">
        <f>SUM(H43:H75)</f>
        <v>262004.91</v>
      </c>
      <c r="I76" s="1232">
        <f>SUM(I43:I75)</f>
        <v>-3312.5900000000038</v>
      </c>
      <c r="J76" s="1303">
        <f>IF(ISERROR(I76/G76),"-",I76/G76)</f>
        <v>-1.2485380723095928E-2</v>
      </c>
      <c r="K76" s="1404"/>
      <c r="L76" s="565">
        <f>SUM(L43:L75)</f>
        <v>269317.5</v>
      </c>
      <c r="M76" s="433">
        <f>SUM(M43:M75)</f>
        <v>99663.700000000012</v>
      </c>
      <c r="N76" s="433">
        <f>SUM(N43:N75)</f>
        <v>-169653.8</v>
      </c>
      <c r="O76" s="212">
        <f>IF(ISERROR(N76/L76),"-",N76/L76)</f>
        <v>-0.62993975512174283</v>
      </c>
      <c r="P76" s="1363"/>
      <c r="Q76" s="419">
        <f>SUM(Q43:Q75)</f>
        <v>278317.5</v>
      </c>
      <c r="R76" s="433">
        <f>SUM(R43:R75)</f>
        <v>114257.15000000001</v>
      </c>
      <c r="S76" s="433">
        <f>SUM(S43:S75)</f>
        <v>-164060.35000000003</v>
      </c>
      <c r="T76" s="1214">
        <f>IF(ISERROR(S76/Q76),"-",S76/Q76)</f>
        <v>-0.58947191606708182</v>
      </c>
      <c r="U76" s="1404"/>
      <c r="V76" s="1063">
        <f>SUM(V43:V75)</f>
        <v>1078270</v>
      </c>
      <c r="W76" s="1232">
        <f>SUM(W43:W75)</f>
        <v>991410.67999999993</v>
      </c>
      <c r="X76" s="1305">
        <f>SUM(X43:X75)</f>
        <v>-86859.320000000051</v>
      </c>
      <c r="Y76" s="1415">
        <f t="shared" si="37"/>
        <v>-8.0554332402830511E-2</v>
      </c>
      <c r="Z76" s="1404"/>
      <c r="AA76" s="1063">
        <f>SUM(AA43:AA75)</f>
        <v>1090770</v>
      </c>
      <c r="AB76" s="1232">
        <f>SUM(AB43:AB75)</f>
        <v>99359.320000000051</v>
      </c>
      <c r="AC76" s="1415">
        <f>IF(ISERROR(AB76/AA76),"-",AB76/AA76)</f>
        <v>9.1090990767989627E-2</v>
      </c>
      <c r="AD76" s="1173"/>
      <c r="AE76" s="1178"/>
    </row>
    <row r="77" spans="1:31" x14ac:dyDescent="0.3">
      <c r="A77" s="1273"/>
      <c r="B77" s="752"/>
      <c r="C77" s="1059"/>
      <c r="D77" s="1086"/>
      <c r="E77" s="1087"/>
      <c r="F77" s="1363"/>
      <c r="G77" s="1064"/>
      <c r="H77" s="1067"/>
      <c r="I77" s="1233"/>
      <c r="J77" s="1304"/>
      <c r="K77" s="1404"/>
      <c r="L77" s="760"/>
      <c r="M77" s="449"/>
      <c r="N77" s="449"/>
      <c r="O77" s="801"/>
      <c r="P77" s="1363"/>
      <c r="Q77" s="450"/>
      <c r="R77" s="451"/>
      <c r="S77" s="451"/>
      <c r="T77" s="1409"/>
      <c r="U77" s="1404"/>
      <c r="V77" s="1068"/>
      <c r="W77" s="1393"/>
      <c r="X77" s="1086"/>
      <c r="Y77" s="1416"/>
      <c r="Z77" s="1404"/>
      <c r="AA77" s="1068"/>
      <c r="AB77" s="1086"/>
      <c r="AC77" s="1416"/>
      <c r="AD77" s="1168"/>
      <c r="AE77" s="1181"/>
    </row>
    <row r="78" spans="1:31" ht="19.5" thickBot="1" x14ac:dyDescent="0.35">
      <c r="A78" s="1265" t="s">
        <v>103</v>
      </c>
      <c r="B78" s="1046">
        <f>B41+B76+B77</f>
        <v>464575.6</v>
      </c>
      <c r="C78" s="1058">
        <f>C41+C76+C77</f>
        <v>712618.46</v>
      </c>
      <c r="D78" s="1232">
        <f>D41+D76+D77</f>
        <v>248042.85999999996</v>
      </c>
      <c r="E78" s="1303">
        <f>IF(ISERROR(D78/B78),"-",D78/B78)</f>
        <v>0.53391280127496998</v>
      </c>
      <c r="F78" s="1364"/>
      <c r="G78" s="1046">
        <f>G41+G76+G77</f>
        <v>464575.6</v>
      </c>
      <c r="H78" s="1058">
        <f>H41+H76+H77</f>
        <v>460718.9</v>
      </c>
      <c r="I78" s="1232">
        <f>I41+I76+I77</f>
        <v>-3856.7000000000035</v>
      </c>
      <c r="J78" s="1303">
        <f>IF(ISERROR(I78/G78),"-",I78/G78)</f>
        <v>-8.3015552258878939E-3</v>
      </c>
      <c r="K78" s="1405"/>
      <c r="L78" s="565">
        <f>L41+L76+L77</f>
        <v>468575.6</v>
      </c>
      <c r="M78" s="433">
        <f>M41+M76+M77</f>
        <v>297493.43000000005</v>
      </c>
      <c r="N78" s="433">
        <f>N41+N76+N77</f>
        <v>-171082.16999999998</v>
      </c>
      <c r="O78" s="212">
        <f>IF(ISERROR(N78/L78),"-",N78/L78)</f>
        <v>-0.36511113681548929</v>
      </c>
      <c r="P78" s="1364"/>
      <c r="Q78" s="432">
        <f>Q41+Q76+Q77</f>
        <v>477575.6</v>
      </c>
      <c r="R78" s="433">
        <f>R41+R76+R77</f>
        <v>370673.29</v>
      </c>
      <c r="S78" s="433">
        <f>S41+S76+S77</f>
        <v>-106902.31000000004</v>
      </c>
      <c r="T78" s="1214">
        <f>IF(ISERROR(S78/Q78),"-",S78/Q78)</f>
        <v>-0.22384374327331641</v>
      </c>
      <c r="U78" s="1405"/>
      <c r="V78" s="1063">
        <f>V41+V76+V77</f>
        <v>1875302.3999999999</v>
      </c>
      <c r="W78" s="1232">
        <f>W41+W76+W77</f>
        <v>1841504.08</v>
      </c>
      <c r="X78" s="1232">
        <f>X41+X76+X77</f>
        <v>-33798.320000000051</v>
      </c>
      <c r="Y78" s="1415">
        <f>IF(ISERROR(X78/V78),"-",X78/V78)</f>
        <v>-1.8022863939170585E-2</v>
      </c>
      <c r="Z78" s="1405"/>
      <c r="AA78" s="1063">
        <f>AA41+AA76+AA77</f>
        <v>1887802.79</v>
      </c>
      <c r="AB78" s="1232">
        <f>AB41+AB76+AB77</f>
        <v>46298.710000000065</v>
      </c>
      <c r="AC78" s="1415">
        <f>IF(ISERROR(AB78/AA78),"-",AB78/AA78)</f>
        <v>2.4525183586575832E-2</v>
      </c>
      <c r="AD78" s="1164"/>
      <c r="AE78" s="1178"/>
    </row>
    <row r="79" spans="1:31" ht="33" customHeight="1" thickBot="1" x14ac:dyDescent="0.35">
      <c r="A79" s="261" t="s">
        <v>166</v>
      </c>
      <c r="B79" s="752">
        <f>B25-B78</f>
        <v>-35377.099999999977</v>
      </c>
      <c r="C79" s="1059">
        <f>C25-C78</f>
        <v>-302862.31</v>
      </c>
      <c r="D79" s="1086">
        <f>D25-D78</f>
        <v>-267485.20999999996</v>
      </c>
      <c r="E79" s="1435"/>
      <c r="F79" s="1447">
        <f>F25-F78</f>
        <v>0</v>
      </c>
      <c r="G79" s="752">
        <f>G25-G78</f>
        <v>-35377.099999999977</v>
      </c>
      <c r="H79" s="1059">
        <f>H25-H78</f>
        <v>212200.21000000008</v>
      </c>
      <c r="I79" s="1086">
        <f>I25-I78</f>
        <v>247577.31000000006</v>
      </c>
      <c r="J79" s="1396"/>
      <c r="K79" s="1367">
        <f>K25-K78</f>
        <v>0</v>
      </c>
      <c r="L79" s="760">
        <f>L25-L78</f>
        <v>-39377.099999999977</v>
      </c>
      <c r="M79" s="448">
        <f>M25-M78</f>
        <v>514339.6399999999</v>
      </c>
      <c r="N79" s="448">
        <f>N25-N78</f>
        <v>553716.74</v>
      </c>
      <c r="O79" s="893"/>
      <c r="P79" s="251">
        <f>P25-P78</f>
        <v>0</v>
      </c>
      <c r="Q79" s="448">
        <f>Q25-Q78</f>
        <v>-48377.099999999977</v>
      </c>
      <c r="R79" s="448">
        <f>R25-R78</f>
        <v>715001.37999999989</v>
      </c>
      <c r="S79" s="448">
        <f>S25-S78</f>
        <v>763378.48</v>
      </c>
      <c r="T79" s="1399"/>
      <c r="U79" s="1367">
        <f>U25-U78</f>
        <v>0</v>
      </c>
      <c r="V79" s="958">
        <f>V25-V78</f>
        <v>-158508.39999999991</v>
      </c>
      <c r="W79" s="1086">
        <f>W25-W78</f>
        <v>1138678.92</v>
      </c>
      <c r="X79" s="1086">
        <f>X25-X78</f>
        <v>1297187.32</v>
      </c>
      <c r="Y79" s="1416"/>
      <c r="Z79" s="1367">
        <f>Z25-Z78</f>
        <v>0</v>
      </c>
      <c r="AA79" s="958">
        <f>AA25-AA78</f>
        <v>-170864.79000000004</v>
      </c>
      <c r="AB79" s="1086">
        <f>AB25-AB78</f>
        <v>-1309543.71</v>
      </c>
      <c r="AC79" s="1416"/>
      <c r="AD79" s="1168"/>
      <c r="AE79" s="1181"/>
    </row>
    <row r="80" spans="1:31" ht="19.5" thickBot="1" x14ac:dyDescent="0.35">
      <c r="A80" s="263" t="s">
        <v>167</v>
      </c>
      <c r="B80" s="752"/>
      <c r="C80" s="1059"/>
      <c r="D80" s="1086">
        <f>C80-B80</f>
        <v>0</v>
      </c>
      <c r="E80" s="1435"/>
      <c r="F80" s="1363"/>
      <c r="G80" s="1064"/>
      <c r="H80" s="1067"/>
      <c r="I80" s="1086">
        <f>H80-G80</f>
        <v>0</v>
      </c>
      <c r="J80" s="1452"/>
      <c r="K80" s="1404"/>
      <c r="L80" s="760"/>
      <c r="M80" s="449"/>
      <c r="N80" s="449">
        <f>M80-L80</f>
        <v>0</v>
      </c>
      <c r="O80" s="896"/>
      <c r="P80" s="1363"/>
      <c r="Q80" s="450"/>
      <c r="R80" s="451"/>
      <c r="S80" s="449">
        <f>R80-Q80</f>
        <v>0</v>
      </c>
      <c r="T80" s="1400"/>
      <c r="U80" s="1404"/>
      <c r="V80" s="1068"/>
      <c r="W80" s="1393"/>
      <c r="X80" s="1086"/>
      <c r="Y80" s="1416"/>
      <c r="Z80" s="1404"/>
      <c r="AA80" s="1068"/>
      <c r="AB80" s="1086"/>
      <c r="AC80" s="1416"/>
      <c r="AD80" s="1168"/>
      <c r="AE80" s="1178"/>
    </row>
    <row r="81" spans="1:31" ht="25.5" customHeight="1" thickBot="1" x14ac:dyDescent="0.35">
      <c r="A81" s="265" t="s">
        <v>168</v>
      </c>
      <c r="B81" s="752">
        <f>B79-B80</f>
        <v>-35377.099999999977</v>
      </c>
      <c r="C81" s="1059">
        <f t="shared" ref="C81:AA81" si="40">C79-C80</f>
        <v>-302862.31</v>
      </c>
      <c r="D81" s="1086">
        <f t="shared" si="40"/>
        <v>-267485.20999999996</v>
      </c>
      <c r="E81" s="1396">
        <f>E79-E80</f>
        <v>0</v>
      </c>
      <c r="F81" s="1447">
        <f t="shared" si="40"/>
        <v>0</v>
      </c>
      <c r="G81" s="752">
        <f t="shared" si="40"/>
        <v>-35377.099999999977</v>
      </c>
      <c r="H81" s="1059">
        <f t="shared" si="40"/>
        <v>212200.21000000008</v>
      </c>
      <c r="I81" s="1086">
        <f t="shared" si="40"/>
        <v>247577.31000000006</v>
      </c>
      <c r="J81" s="1396">
        <f>J79-J80</f>
        <v>0</v>
      </c>
      <c r="K81" s="1367">
        <f t="shared" si="40"/>
        <v>0</v>
      </c>
      <c r="L81" s="760">
        <f t="shared" si="40"/>
        <v>-39377.099999999977</v>
      </c>
      <c r="M81" s="448">
        <f t="shared" si="40"/>
        <v>514339.6399999999</v>
      </c>
      <c r="N81" s="448">
        <f t="shared" si="40"/>
        <v>553716.74</v>
      </c>
      <c r="O81" s="893">
        <f t="shared" si="40"/>
        <v>0</v>
      </c>
      <c r="P81" s="251">
        <f t="shared" si="40"/>
        <v>0</v>
      </c>
      <c r="Q81" s="448">
        <f t="shared" si="40"/>
        <v>-48377.099999999977</v>
      </c>
      <c r="R81" s="448">
        <f>R79-R80</f>
        <v>715001.37999999989</v>
      </c>
      <c r="S81" s="448">
        <f t="shared" si="40"/>
        <v>763378.48</v>
      </c>
      <c r="T81" s="1399">
        <f t="shared" si="40"/>
        <v>0</v>
      </c>
      <c r="U81" s="1367">
        <f t="shared" si="40"/>
        <v>0</v>
      </c>
      <c r="V81" s="958">
        <f>V79-V80</f>
        <v>-158508.39999999991</v>
      </c>
      <c r="W81" s="1086">
        <f t="shared" si="40"/>
        <v>1138678.92</v>
      </c>
      <c r="X81" s="1086">
        <f t="shared" si="40"/>
        <v>1297187.32</v>
      </c>
      <c r="Y81" s="1416">
        <f t="shared" si="40"/>
        <v>0</v>
      </c>
      <c r="Z81" s="1367">
        <f t="shared" si="40"/>
        <v>0</v>
      </c>
      <c r="AA81" s="958">
        <f t="shared" si="40"/>
        <v>-170864.79000000004</v>
      </c>
      <c r="AB81" s="1086">
        <f>AB79-AB80</f>
        <v>-1309543.71</v>
      </c>
      <c r="AC81" s="1416">
        <f>AC79-AC80</f>
        <v>0</v>
      </c>
      <c r="AD81" s="1168"/>
      <c r="AE81" s="1181"/>
    </row>
    <row r="82" spans="1:31" ht="29.25" customHeight="1" x14ac:dyDescent="0.3">
      <c r="A82" s="1256" t="s">
        <v>104</v>
      </c>
      <c r="B82" s="889"/>
      <c r="C82" s="966"/>
      <c r="D82" s="416">
        <f>B82-C82</f>
        <v>0</v>
      </c>
      <c r="E82" s="1436" t="str">
        <f>IF(ISERROR(D82/B82),"-",D82/B82)</f>
        <v>-</v>
      </c>
      <c r="F82" s="1364"/>
      <c r="G82" s="1065"/>
      <c r="H82" s="1066"/>
      <c r="I82" s="1042">
        <f>G82-H82</f>
        <v>0</v>
      </c>
      <c r="J82" s="1043" t="str">
        <f>IF(ISERROR(I82/G82),"-",I82/G82)</f>
        <v>-</v>
      </c>
      <c r="K82" s="1405"/>
      <c r="L82" s="567"/>
      <c r="M82" s="415"/>
      <c r="N82" s="415">
        <f>L82-M82</f>
        <v>0</v>
      </c>
      <c r="O82" s="196" t="str">
        <f>IF(ISERROR(N82/L82),"-",N82/L82)</f>
        <v>-</v>
      </c>
      <c r="P82" s="1364"/>
      <c r="Q82" s="426"/>
      <c r="R82" s="427"/>
      <c r="S82" s="427">
        <f>Q82-R82</f>
        <v>0</v>
      </c>
      <c r="T82" s="1212" t="str">
        <f>IF(ISERROR(S82/Q82),"-",S82/Q82)</f>
        <v>-</v>
      </c>
      <c r="U82" s="1405"/>
      <c r="V82" s="397">
        <f>B82+G82+L82+Q82</f>
        <v>0</v>
      </c>
      <c r="W82" s="416">
        <f>C82+H82+M82+R82</f>
        <v>0</v>
      </c>
      <c r="X82" s="416">
        <f>V82-W82</f>
        <v>0</v>
      </c>
      <c r="Y82" s="1313" t="str">
        <f>IF(ISERROR(X82/V82),"-",X82/V82)</f>
        <v>-</v>
      </c>
      <c r="Z82" s="1405"/>
      <c r="AA82" s="397">
        <f>G82+L82+Q82+V82</f>
        <v>0</v>
      </c>
      <c r="AB82" s="416">
        <f>AA82-W82</f>
        <v>0</v>
      </c>
      <c r="AC82" s="1313" t="str">
        <f>IF(ISERROR(AB82/AA82),"-",AB82/AA82)</f>
        <v>-</v>
      </c>
      <c r="AD82" s="1164"/>
      <c r="AE82" s="1178"/>
    </row>
    <row r="83" spans="1:31" ht="19.5" thickBot="1" x14ac:dyDescent="0.35">
      <c r="A83" s="1274" t="s">
        <v>105</v>
      </c>
      <c r="B83" s="454">
        <f>B81-B82</f>
        <v>-35377.099999999977</v>
      </c>
      <c r="C83" s="1432">
        <f>C81-C82</f>
        <v>-302862.31</v>
      </c>
      <c r="D83" s="1316">
        <f>D81-D82</f>
        <v>-267485.20999999996</v>
      </c>
      <c r="E83" s="1437">
        <f>IF(ISERROR(D83/B83),"-",D83/B83)</f>
        <v>7.5609705148245654</v>
      </c>
      <c r="F83" s="1365"/>
      <c r="G83" s="1047">
        <f>G81-G82</f>
        <v>-35377.099999999977</v>
      </c>
      <c r="H83" s="1060">
        <f>H81-H82</f>
        <v>212200.21000000008</v>
      </c>
      <c r="I83" s="1316">
        <f>H83-G83</f>
        <v>247577.31000000006</v>
      </c>
      <c r="J83" s="1437">
        <f>IF(ISERROR(I83/G83),"-",I83/G83)</f>
        <v>-6.998236429780853</v>
      </c>
      <c r="K83" s="1406"/>
      <c r="L83" s="793">
        <f>L81-L82</f>
        <v>-39377.099999999977</v>
      </c>
      <c r="M83" s="454">
        <f>M81-M82</f>
        <v>514339.6399999999</v>
      </c>
      <c r="N83" s="455">
        <f>M83-L83</f>
        <v>553716.73999999987</v>
      </c>
      <c r="O83" s="895">
        <f>IF(ISERROR(N83/L83),"-",N83/L83)</f>
        <v>-14.061897397218186</v>
      </c>
      <c r="P83" s="1365"/>
      <c r="Q83" s="454">
        <f>Q81-Q82</f>
        <v>-48377.099999999977</v>
      </c>
      <c r="R83" s="454">
        <f>R81-R82</f>
        <v>715001.37999999989</v>
      </c>
      <c r="S83" s="455">
        <f>R83-Q83</f>
        <v>763378.47999999986</v>
      </c>
      <c r="T83" s="1401">
        <f>IF(ISERROR(S83/Q83),"-",S83/Q83)</f>
        <v>-15.779748682744527</v>
      </c>
      <c r="U83" s="1406"/>
      <c r="V83" s="1414">
        <f>V81-V82</f>
        <v>-158508.39999999991</v>
      </c>
      <c r="W83" s="1439">
        <f>W81-W82</f>
        <v>1138678.92</v>
      </c>
      <c r="X83" s="1316">
        <f>W83-V83</f>
        <v>1297187.3199999998</v>
      </c>
      <c r="Y83" s="1417">
        <f>IF(ISERROR(X83/V83),"-",X83/V83)</f>
        <v>-8.1837134183425011</v>
      </c>
      <c r="Z83" s="1406"/>
      <c r="AA83" s="1414">
        <f>AA81-AA82</f>
        <v>-170864.79000000004</v>
      </c>
      <c r="AB83" s="1439">
        <f>AB81-AB82</f>
        <v>-1309543.71</v>
      </c>
      <c r="AC83" s="1417">
        <f>IF(ISERROR(AB83/AA83),"-",AB83/AA83)</f>
        <v>7.6642104555303625</v>
      </c>
      <c r="AD83" s="1115"/>
      <c r="AE83" s="1186"/>
    </row>
  </sheetData>
  <sheetProtection algorithmName="SHA-512" hashValue="RXCjpJpsu96XVRaH+TgHXFjWfFAz4yGyCWCJgxAMahEkX/d5hwGXGSYZdhe6vgax/TlzPwp/rS9eyezE4e3YhQ==" saltValue="5wuHiJEgGwI7Wa3MpGtiVA==" spinCount="100000" sheet="1" objects="1" scenarios="1"/>
  <mergeCells count="13"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conditionalFormatting sqref="E56">
    <cfRule type="cellIs" dxfId="4" priority="1" stopIfTrue="1" operator="equal">
      <formula>""""""</formula>
    </cfRule>
  </conditionalFormatting>
  <pageMargins left="0.7" right="0.7" top="0.75" bottom="0.75" header="0.3" footer="0.3"/>
  <pageSetup paperSize="17" scale="43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  <pageSetUpPr fitToPage="1"/>
  </sheetPr>
  <dimension ref="A1:L77"/>
  <sheetViews>
    <sheetView zoomScale="70" zoomScaleNormal="70" workbookViewId="0">
      <selection activeCell="E16" sqref="E16"/>
    </sheetView>
  </sheetViews>
  <sheetFormatPr defaultColWidth="8.85546875" defaultRowHeight="15.75" customHeight="1" x14ac:dyDescent="0.25"/>
  <cols>
    <col min="1" max="1" width="64.42578125" customWidth="1"/>
    <col min="2" max="2" width="16.42578125" customWidth="1"/>
    <col min="3" max="3" width="16.85546875" customWidth="1"/>
    <col min="4" max="4" width="18.140625" customWidth="1"/>
    <col min="5" max="5" width="17" customWidth="1"/>
    <col min="6" max="6" width="17.42578125" customWidth="1"/>
    <col min="7" max="8" width="8.85546875" customWidth="1"/>
    <col min="9" max="10" width="15.140625" bestFit="1" customWidth="1"/>
    <col min="11" max="11" width="8.85546875" customWidth="1"/>
    <col min="12" max="12" width="12.28515625" bestFit="1" customWidth="1"/>
    <col min="13" max="231" width="8.85546875" customWidth="1"/>
  </cols>
  <sheetData>
    <row r="1" spans="1:10" ht="18.75" customHeight="1" x14ac:dyDescent="0.25">
      <c r="A1" s="1760" t="s">
        <v>49</v>
      </c>
      <c r="B1" s="1762"/>
      <c r="C1" s="1762"/>
      <c r="D1" s="1762"/>
      <c r="E1" s="1762"/>
      <c r="F1" s="1762"/>
    </row>
    <row r="2" spans="1:10" ht="18.75" customHeight="1" x14ac:dyDescent="0.25">
      <c r="A2" s="1"/>
      <c r="B2" s="2"/>
      <c r="C2" s="2"/>
      <c r="D2" s="2"/>
      <c r="E2" s="2"/>
      <c r="F2" s="2"/>
    </row>
    <row r="3" spans="1:10" s="3" customFormat="1" ht="18.75" customHeight="1" x14ac:dyDescent="0.3">
      <c r="A3" s="1779" t="s">
        <v>184</v>
      </c>
      <c r="B3" s="1780"/>
      <c r="C3" s="1780"/>
      <c r="D3" s="1780"/>
      <c r="E3" s="1780"/>
      <c r="F3" s="1780"/>
      <c r="G3" s="1763"/>
      <c r="H3" s="1764"/>
    </row>
    <row r="4" spans="1:10" ht="18.75" customHeight="1" x14ac:dyDescent="0.3">
      <c r="A4" s="1763" t="s">
        <v>0</v>
      </c>
      <c r="B4" s="1764"/>
      <c r="C4" s="1764"/>
      <c r="D4" s="1764"/>
      <c r="E4" s="1764"/>
      <c r="F4" s="1764"/>
    </row>
    <row r="5" spans="1:10" ht="18.75" customHeight="1" x14ac:dyDescent="0.3">
      <c r="A5" s="1763" t="s">
        <v>1</v>
      </c>
      <c r="B5" s="1765"/>
      <c r="C5" s="1765"/>
      <c r="D5" s="1765"/>
      <c r="E5" s="1765"/>
      <c r="F5" s="1765"/>
    </row>
    <row r="6" spans="1:10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10" ht="18.75" customHeight="1" x14ac:dyDescent="0.3">
      <c r="A7" s="1757" t="s">
        <v>2</v>
      </c>
      <c r="B7" s="1758"/>
      <c r="C7" s="1758"/>
      <c r="D7" s="1758"/>
      <c r="E7" s="1758"/>
      <c r="F7" s="1758"/>
    </row>
    <row r="8" spans="1:10" ht="16.5" customHeight="1" thickBot="1" x14ac:dyDescent="0.3">
      <c r="A8" s="6"/>
      <c r="B8" s="34"/>
      <c r="C8" s="35"/>
      <c r="D8" s="34"/>
      <c r="E8" s="35"/>
      <c r="F8" s="34"/>
    </row>
    <row r="9" spans="1:10" ht="17.45" customHeight="1" x14ac:dyDescent="0.25">
      <c r="A9" s="4"/>
      <c r="B9" s="36" t="s">
        <v>160</v>
      </c>
      <c r="C9" s="5" t="s">
        <v>161</v>
      </c>
      <c r="D9" s="36" t="s">
        <v>162</v>
      </c>
      <c r="E9" s="5" t="s">
        <v>163</v>
      </c>
      <c r="F9" s="36" t="s">
        <v>3</v>
      </c>
    </row>
    <row r="10" spans="1:10" ht="15" customHeight="1" x14ac:dyDescent="0.3">
      <c r="A10" s="7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10" ht="15" customHeight="1" thickBot="1" x14ac:dyDescent="0.3">
      <c r="A11" s="8"/>
      <c r="B11" s="37" t="s">
        <v>107</v>
      </c>
      <c r="C11" s="38" t="s">
        <v>107</v>
      </c>
      <c r="D11" s="37" t="s">
        <v>107</v>
      </c>
      <c r="E11" s="38" t="s">
        <v>107</v>
      </c>
      <c r="F11" s="37" t="s">
        <v>107</v>
      </c>
    </row>
    <row r="12" spans="1:10" ht="15" customHeight="1" x14ac:dyDescent="0.25">
      <c r="A12" s="9" t="s">
        <v>4</v>
      </c>
      <c r="B12" s="646"/>
      <c r="C12" s="647"/>
      <c r="D12" s="646"/>
      <c r="E12" s="647"/>
      <c r="F12" s="646"/>
    </row>
    <row r="13" spans="1:10" ht="15" customHeight="1" x14ac:dyDescent="0.25">
      <c r="A13" s="10" t="s">
        <v>5</v>
      </c>
      <c r="B13" s="584"/>
      <c r="C13" s="585"/>
      <c r="D13" s="584"/>
      <c r="E13" s="585"/>
      <c r="F13" s="584"/>
    </row>
    <row r="14" spans="1:10" ht="15" customHeight="1" x14ac:dyDescent="0.3">
      <c r="A14" s="11" t="s">
        <v>6</v>
      </c>
      <c r="B14" s="802">
        <v>6854066.6200000001</v>
      </c>
      <c r="C14" s="802">
        <v>7939507.6799999997</v>
      </c>
      <c r="D14" s="802">
        <v>6917844.0999999996</v>
      </c>
      <c r="E14" s="802">
        <v>6434662.5899999999</v>
      </c>
      <c r="F14" s="802">
        <v>7060186.2199999997</v>
      </c>
      <c r="H14" s="33"/>
      <c r="I14" s="1684"/>
      <c r="J14" s="33"/>
    </row>
    <row r="15" spans="1:10" ht="15" customHeight="1" x14ac:dyDescent="0.3">
      <c r="A15" s="12" t="s">
        <v>7</v>
      </c>
      <c r="B15" s="802">
        <v>35935.050000000003</v>
      </c>
      <c r="C15" s="802">
        <v>37132.35</v>
      </c>
      <c r="D15" s="802">
        <v>47112.6</v>
      </c>
      <c r="E15" s="802">
        <v>10588.78</v>
      </c>
      <c r="F15" s="802">
        <v>37032.660000000003</v>
      </c>
    </row>
    <row r="16" spans="1:10" ht="15" customHeight="1" x14ac:dyDescent="0.3">
      <c r="A16" s="12" t="s">
        <v>8</v>
      </c>
      <c r="B16" s="802">
        <v>2600</v>
      </c>
      <c r="C16" s="802">
        <v>0</v>
      </c>
      <c r="D16" s="802">
        <v>0</v>
      </c>
      <c r="E16" s="802">
        <v>0</v>
      </c>
      <c r="F16" s="802">
        <v>0</v>
      </c>
    </row>
    <row r="17" spans="1:9" ht="15" customHeight="1" x14ac:dyDescent="0.3">
      <c r="A17" s="12" t="s">
        <v>9</v>
      </c>
      <c r="B17" s="802">
        <v>0</v>
      </c>
      <c r="C17" s="802">
        <v>0</v>
      </c>
      <c r="D17" s="802">
        <v>0</v>
      </c>
      <c r="E17" s="802">
        <v>0</v>
      </c>
      <c r="F17" s="802">
        <v>0</v>
      </c>
    </row>
    <row r="18" spans="1:9" ht="15" customHeight="1" x14ac:dyDescent="0.3">
      <c r="A18" s="12" t="s">
        <v>10</v>
      </c>
      <c r="B18" s="802">
        <v>-7442.46</v>
      </c>
      <c r="C18" s="802">
        <v>-7442.46</v>
      </c>
      <c r="D18" s="802">
        <v>-7442.46</v>
      </c>
      <c r="E18" s="802">
        <v>-7442.46</v>
      </c>
      <c r="F18" s="802">
        <v>214098.03</v>
      </c>
      <c r="H18" s="41"/>
    </row>
    <row r="19" spans="1:9" ht="15" customHeight="1" x14ac:dyDescent="0.3">
      <c r="A19" s="13" t="s">
        <v>11</v>
      </c>
      <c r="B19" s="802">
        <v>0</v>
      </c>
      <c r="C19" s="802">
        <v>0</v>
      </c>
      <c r="D19" s="802">
        <v>0</v>
      </c>
      <c r="E19" s="802">
        <v>0</v>
      </c>
      <c r="F19" s="802">
        <v>0</v>
      </c>
      <c r="H19" s="41"/>
      <c r="I19" s="42"/>
    </row>
    <row r="20" spans="1:9" ht="15" customHeight="1" x14ac:dyDescent="0.3">
      <c r="A20" s="14" t="s">
        <v>12</v>
      </c>
      <c r="B20" s="846">
        <f>SUM(B14:B19)</f>
        <v>6885159.21</v>
      </c>
      <c r="C20" s="847">
        <f>SUM(C14:C19)</f>
        <v>7969197.5699999994</v>
      </c>
      <c r="D20" s="846">
        <f>SUM(D14:D19)</f>
        <v>6957514.2399999993</v>
      </c>
      <c r="E20" s="847">
        <f>SUM(E14:E19)</f>
        <v>6437808.9100000001</v>
      </c>
      <c r="F20" s="846">
        <f>SUM(F14:F19)</f>
        <v>7311316.9100000001</v>
      </c>
    </row>
    <row r="21" spans="1:9" ht="15" customHeight="1" x14ac:dyDescent="0.3">
      <c r="A21" s="15"/>
      <c r="B21" s="848"/>
      <c r="C21" s="849"/>
      <c r="D21" s="848"/>
      <c r="E21" s="849"/>
      <c r="F21" s="848"/>
    </row>
    <row r="22" spans="1:9" ht="15" customHeight="1" x14ac:dyDescent="0.3">
      <c r="A22" s="16" t="s">
        <v>13</v>
      </c>
      <c r="B22" s="802"/>
      <c r="C22" s="845"/>
      <c r="D22" s="802"/>
      <c r="E22" s="845"/>
      <c r="F22" s="802"/>
    </row>
    <row r="23" spans="1:9" ht="15" customHeight="1" x14ac:dyDescent="0.3">
      <c r="A23" s="12" t="s">
        <v>14</v>
      </c>
      <c r="B23" s="802">
        <v>0</v>
      </c>
      <c r="C23" s="802">
        <v>0</v>
      </c>
      <c r="D23" s="802">
        <v>0</v>
      </c>
      <c r="E23" s="802">
        <v>0</v>
      </c>
      <c r="F23" s="802">
        <v>0</v>
      </c>
    </row>
    <row r="24" spans="1:9" ht="15" customHeight="1" x14ac:dyDescent="0.3">
      <c r="A24" s="12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9" ht="15" customHeight="1" x14ac:dyDescent="0.3">
      <c r="A25" s="12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9" ht="15" customHeight="1" x14ac:dyDescent="0.3">
      <c r="A26" s="12" t="s">
        <v>17</v>
      </c>
      <c r="B26" s="802">
        <v>11629949.449999999</v>
      </c>
      <c r="C26" s="802">
        <v>11629949.449999999</v>
      </c>
      <c r="D26" s="802">
        <v>13629949.449999999</v>
      </c>
      <c r="E26" s="802">
        <v>13629949.449999999</v>
      </c>
      <c r="F26" s="802">
        <v>13629949.449999999</v>
      </c>
    </row>
    <row r="27" spans="1:9" ht="15" customHeight="1" x14ac:dyDescent="0.3">
      <c r="A27" s="12" t="s">
        <v>119</v>
      </c>
      <c r="B27" s="802">
        <v>8041364.9100000001</v>
      </c>
      <c r="C27" s="802">
        <v>7642813.1600000001</v>
      </c>
      <c r="D27" s="802">
        <v>7609284.2300000004</v>
      </c>
      <c r="E27" s="802">
        <v>7826246.6299999999</v>
      </c>
      <c r="F27" s="802">
        <v>7246813.04</v>
      </c>
      <c r="H27" s="33"/>
      <c r="I27" s="33"/>
    </row>
    <row r="28" spans="1:9" ht="15" customHeight="1" x14ac:dyDescent="0.3">
      <c r="A28" s="12" t="s">
        <v>118</v>
      </c>
      <c r="B28" s="802">
        <v>6104346.0700000003</v>
      </c>
      <c r="C28" s="802">
        <v>5628529.9100000001</v>
      </c>
      <c r="D28" s="802">
        <v>5152713.75</v>
      </c>
      <c r="E28" s="802">
        <v>4676897.59</v>
      </c>
      <c r="F28" s="802">
        <v>4201081.43</v>
      </c>
    </row>
    <row r="29" spans="1:9" ht="15" customHeight="1" x14ac:dyDescent="0.3">
      <c r="A29" s="13" t="s">
        <v>18</v>
      </c>
      <c r="B29" s="802">
        <v>0</v>
      </c>
      <c r="C29" s="802">
        <v>0</v>
      </c>
      <c r="D29" s="1090">
        <v>0</v>
      </c>
      <c r="E29" s="802">
        <v>0</v>
      </c>
      <c r="F29" s="802">
        <v>0</v>
      </c>
    </row>
    <row r="30" spans="1:9" ht="15" customHeight="1" x14ac:dyDescent="0.3">
      <c r="A30" s="14" t="s">
        <v>19</v>
      </c>
      <c r="B30" s="846">
        <f>SUM(B23:B29)</f>
        <v>25775660.43</v>
      </c>
      <c r="C30" s="846">
        <f>SUM(C23:C29)</f>
        <v>24901292.52</v>
      </c>
      <c r="D30" s="846">
        <f>SUM(D23:D29)</f>
        <v>26391947.43</v>
      </c>
      <c r="E30" s="846">
        <f>SUM(E23:E29)</f>
        <v>26133093.669999998</v>
      </c>
      <c r="F30" s="846">
        <f>SUM(F23:F29)</f>
        <v>25077843.919999998</v>
      </c>
    </row>
    <row r="31" spans="1:9" ht="15" customHeight="1" x14ac:dyDescent="0.3">
      <c r="A31" s="15"/>
      <c r="B31" s="848"/>
      <c r="C31" s="849"/>
      <c r="D31" s="848"/>
      <c r="E31" s="849"/>
      <c r="F31" s="848"/>
    </row>
    <row r="32" spans="1:9" ht="15" customHeight="1" x14ac:dyDescent="0.3">
      <c r="A32" s="16" t="s">
        <v>20</v>
      </c>
      <c r="B32" s="352"/>
      <c r="C32" s="354"/>
      <c r="D32" s="352"/>
      <c r="E32" s="354"/>
      <c r="F32" s="352"/>
    </row>
    <row r="33" spans="1:12" ht="15" customHeight="1" x14ac:dyDescent="0.3">
      <c r="A33" s="17" t="s">
        <v>21</v>
      </c>
      <c r="B33" s="802">
        <v>0</v>
      </c>
      <c r="C33" s="802">
        <v>0</v>
      </c>
      <c r="D33" s="352">
        <v>0</v>
      </c>
      <c r="E33" s="802">
        <v>0</v>
      </c>
      <c r="F33" s="802">
        <v>0</v>
      </c>
    </row>
    <row r="34" spans="1:12" ht="15" customHeight="1" x14ac:dyDescent="0.3">
      <c r="A34" s="17" t="s">
        <v>22</v>
      </c>
      <c r="B34" s="802">
        <v>1183.81</v>
      </c>
      <c r="C34" s="802">
        <v>1183.8099999999977</v>
      </c>
      <c r="D34" s="352">
        <v>1183.8099999999977</v>
      </c>
      <c r="E34" s="802">
        <v>1183.8099999999977</v>
      </c>
      <c r="F34" s="802">
        <v>-3599.19</v>
      </c>
    </row>
    <row r="35" spans="1:12" ht="15" customHeight="1" x14ac:dyDescent="0.3">
      <c r="A35" s="17" t="s">
        <v>23</v>
      </c>
      <c r="B35" s="802">
        <v>0</v>
      </c>
      <c r="C35" s="802">
        <v>9984.6100000000079</v>
      </c>
      <c r="D35" s="352">
        <v>9984.6100000000079</v>
      </c>
      <c r="E35" s="802">
        <v>14594.870000000003</v>
      </c>
      <c r="F35" s="802">
        <v>11925.44</v>
      </c>
    </row>
    <row r="36" spans="1:12" ht="15" customHeight="1" x14ac:dyDescent="0.3">
      <c r="A36" s="17" t="s">
        <v>24</v>
      </c>
      <c r="B36" s="802">
        <v>5511.23</v>
      </c>
      <c r="C36" s="802">
        <v>5511.23</v>
      </c>
      <c r="D36" s="352">
        <v>5511.23</v>
      </c>
      <c r="E36" s="802">
        <v>5511.23</v>
      </c>
      <c r="F36" s="802">
        <v>4949.2299999999996</v>
      </c>
    </row>
    <row r="37" spans="1:12" ht="15" customHeight="1" x14ac:dyDescent="0.3">
      <c r="A37" s="17" t="s">
        <v>25</v>
      </c>
      <c r="B37" s="802">
        <v>0</v>
      </c>
      <c r="C37" s="802">
        <v>0</v>
      </c>
      <c r="D37" s="352">
        <v>0</v>
      </c>
      <c r="E37" s="802">
        <v>0</v>
      </c>
      <c r="F37" s="802">
        <v>0</v>
      </c>
    </row>
    <row r="38" spans="1:12" ht="15" customHeight="1" x14ac:dyDescent="0.3">
      <c r="A38" s="18" t="s">
        <v>26</v>
      </c>
      <c r="B38" s="802">
        <v>116052</v>
      </c>
      <c r="C38" s="802">
        <v>86519</v>
      </c>
      <c r="D38" s="355">
        <v>86519</v>
      </c>
      <c r="E38" s="802">
        <v>86519</v>
      </c>
      <c r="F38" s="802">
        <v>56987</v>
      </c>
    </row>
    <row r="39" spans="1:12" ht="15" customHeight="1" x14ac:dyDescent="0.3">
      <c r="A39" s="14" t="s">
        <v>27</v>
      </c>
      <c r="B39" s="846">
        <f>SUM(B32:B38)</f>
        <v>122747.04</v>
      </c>
      <c r="C39" s="847">
        <f>SUM(C32:C38)</f>
        <v>103198.65000000001</v>
      </c>
      <c r="D39" s="846">
        <f>SUM(D32:D38)</f>
        <v>103198.65000000001</v>
      </c>
      <c r="E39" s="847">
        <f>SUM(E32:E38)</f>
        <v>107808.91</v>
      </c>
      <c r="F39" s="846">
        <f>SUM(F32:F38)</f>
        <v>70262.48</v>
      </c>
    </row>
    <row r="40" spans="1:12" ht="15" customHeight="1" x14ac:dyDescent="0.3">
      <c r="A40" s="19"/>
      <c r="B40" s="850"/>
      <c r="C40" s="851"/>
      <c r="D40" s="850"/>
      <c r="E40" s="851"/>
      <c r="F40" s="850"/>
    </row>
    <row r="41" spans="1:12" ht="15" customHeight="1" x14ac:dyDescent="0.3">
      <c r="A41" s="10" t="s">
        <v>28</v>
      </c>
      <c r="B41" s="802">
        <v>0</v>
      </c>
      <c r="C41" s="802">
        <v>0</v>
      </c>
      <c r="D41" s="802">
        <v>0</v>
      </c>
      <c r="E41" s="802">
        <v>3137.289999999979</v>
      </c>
      <c r="F41" s="802">
        <v>9345.5199999999895</v>
      </c>
    </row>
    <row r="42" spans="1:12" ht="15" customHeight="1" x14ac:dyDescent="0.3">
      <c r="A42" s="20"/>
      <c r="B42" s="355"/>
      <c r="C42" s="362"/>
      <c r="D42" s="355"/>
      <c r="E42" s="362"/>
      <c r="F42" s="355"/>
    </row>
    <row r="43" spans="1:12" ht="15" customHeight="1" thickBot="1" x14ac:dyDescent="0.35">
      <c r="A43" s="14" t="s">
        <v>29</v>
      </c>
      <c r="B43" s="846">
        <f>B20+B30+B39+B41</f>
        <v>32783566.68</v>
      </c>
      <c r="C43" s="852">
        <f>C20+C30+C39+C41</f>
        <v>32973688.739999998</v>
      </c>
      <c r="D43" s="846">
        <f>D20+D30+D39+D41</f>
        <v>33452660.319999997</v>
      </c>
      <c r="E43" s="847">
        <f>E20+E30+E39+E41</f>
        <v>32681848.779999997</v>
      </c>
      <c r="F43" s="846">
        <f>F20+F30+F39+F41</f>
        <v>32468768.829999998</v>
      </c>
      <c r="I43" s="39"/>
      <c r="J43" s="39"/>
      <c r="L43" s="40"/>
    </row>
    <row r="44" spans="1:12" ht="15" customHeight="1" x14ac:dyDescent="0.3">
      <c r="A44" s="21"/>
      <c r="B44" s="365"/>
      <c r="C44" s="652"/>
      <c r="D44" s="366"/>
      <c r="E44" s="367"/>
      <c r="F44" s="365"/>
    </row>
    <row r="45" spans="1:12" ht="15" customHeight="1" x14ac:dyDescent="0.3">
      <c r="A45" s="10" t="s">
        <v>30</v>
      </c>
      <c r="B45" s="352"/>
      <c r="C45" s="352"/>
      <c r="D45" s="353"/>
      <c r="E45" s="354"/>
      <c r="F45" s="352"/>
    </row>
    <row r="46" spans="1:12" ht="15" customHeight="1" x14ac:dyDescent="0.3">
      <c r="A46" s="22"/>
      <c r="B46" s="352"/>
      <c r="C46" s="352"/>
      <c r="D46" s="353"/>
      <c r="E46" s="354"/>
      <c r="F46" s="352"/>
    </row>
    <row r="47" spans="1:12" ht="15" customHeight="1" x14ac:dyDescent="0.3">
      <c r="A47" s="10" t="s">
        <v>31</v>
      </c>
      <c r="B47" s="802"/>
      <c r="C47" s="802"/>
      <c r="D47" s="853"/>
      <c r="E47" s="845"/>
      <c r="F47" s="802"/>
    </row>
    <row r="48" spans="1:12" ht="15" customHeight="1" x14ac:dyDescent="0.3">
      <c r="A48" s="17" t="s">
        <v>32</v>
      </c>
      <c r="B48" s="802">
        <v>381395.7</v>
      </c>
      <c r="C48" s="802">
        <v>64458.97</v>
      </c>
      <c r="D48" s="352">
        <v>64458.97</v>
      </c>
      <c r="E48" s="802">
        <v>64458.97</v>
      </c>
      <c r="F48" s="802">
        <v>7441.66</v>
      </c>
    </row>
    <row r="49" spans="1:8" ht="15" customHeight="1" x14ac:dyDescent="0.3">
      <c r="A49" s="23" t="s">
        <v>50</v>
      </c>
      <c r="B49" s="802">
        <v>0</v>
      </c>
      <c r="C49" s="802">
        <v>0</v>
      </c>
      <c r="D49" s="352">
        <v>0</v>
      </c>
      <c r="E49" s="802">
        <v>0</v>
      </c>
      <c r="F49" s="802">
        <v>0</v>
      </c>
    </row>
    <row r="50" spans="1:8" ht="15" customHeight="1" x14ac:dyDescent="0.3">
      <c r="A50" s="23" t="s">
        <v>108</v>
      </c>
      <c r="B50" s="802">
        <v>6473.86</v>
      </c>
      <c r="C50" s="802">
        <v>7694.44</v>
      </c>
      <c r="D50" s="352">
        <v>4709.66</v>
      </c>
      <c r="E50" s="802">
        <v>8081.44</v>
      </c>
      <c r="F50" s="802">
        <v>10461.06</v>
      </c>
    </row>
    <row r="51" spans="1:8" ht="15" customHeight="1" x14ac:dyDescent="0.3">
      <c r="A51" s="23" t="s">
        <v>109</v>
      </c>
      <c r="B51" s="802">
        <v>400737.28000000003</v>
      </c>
      <c r="C51" s="802">
        <v>400737.28000000003</v>
      </c>
      <c r="D51" s="352">
        <v>400737.28000000003</v>
      </c>
      <c r="E51" s="802">
        <v>400737.28000000003</v>
      </c>
      <c r="F51" s="802">
        <v>400737.28000000003</v>
      </c>
    </row>
    <row r="52" spans="1:8" ht="15" customHeight="1" x14ac:dyDescent="0.3">
      <c r="A52" s="23" t="s">
        <v>33</v>
      </c>
      <c r="B52" s="802">
        <v>2424.39</v>
      </c>
      <c r="C52" s="802">
        <v>0</v>
      </c>
      <c r="D52" s="352">
        <v>0</v>
      </c>
      <c r="E52" s="802">
        <v>0</v>
      </c>
      <c r="F52" s="802">
        <v>0</v>
      </c>
    </row>
    <row r="53" spans="1:8" ht="15" customHeight="1" x14ac:dyDescent="0.3">
      <c r="A53" s="23" t="s">
        <v>34</v>
      </c>
      <c r="B53" s="802">
        <v>28040</v>
      </c>
      <c r="C53" s="802">
        <v>2424.39</v>
      </c>
      <c r="D53" s="352">
        <v>28040</v>
      </c>
      <c r="E53" s="802">
        <v>28040</v>
      </c>
      <c r="F53" s="802">
        <v>28040</v>
      </c>
    </row>
    <row r="54" spans="1:8" ht="15" customHeight="1" x14ac:dyDescent="0.3">
      <c r="A54" s="17" t="s">
        <v>35</v>
      </c>
      <c r="B54" s="802">
        <v>0</v>
      </c>
      <c r="C54" s="802">
        <v>28040</v>
      </c>
      <c r="D54" s="352">
        <v>0</v>
      </c>
      <c r="E54" s="802">
        <v>0</v>
      </c>
      <c r="F54" s="802">
        <v>0</v>
      </c>
    </row>
    <row r="55" spans="1:8" ht="15" customHeight="1" x14ac:dyDescent="0.3">
      <c r="A55" s="17" t="s">
        <v>36</v>
      </c>
      <c r="B55" s="802">
        <v>0</v>
      </c>
      <c r="C55" s="802">
        <v>0</v>
      </c>
      <c r="D55" s="352">
        <v>0</v>
      </c>
      <c r="E55" s="802">
        <v>0</v>
      </c>
      <c r="F55" s="802">
        <v>0</v>
      </c>
    </row>
    <row r="56" spans="1:8" ht="15" customHeight="1" x14ac:dyDescent="0.3">
      <c r="A56" s="18" t="s">
        <v>37</v>
      </c>
      <c r="B56" s="802">
        <v>0</v>
      </c>
      <c r="C56" s="802">
        <v>0</v>
      </c>
      <c r="D56" s="355">
        <v>0</v>
      </c>
      <c r="E56" s="802">
        <v>0</v>
      </c>
      <c r="F56" s="802">
        <v>56930.2</v>
      </c>
    </row>
    <row r="57" spans="1:8" ht="15" customHeight="1" x14ac:dyDescent="0.3">
      <c r="A57" s="14" t="s">
        <v>38</v>
      </c>
      <c r="B57" s="846">
        <f>SUM(B48:B56)</f>
        <v>819071.2300000001</v>
      </c>
      <c r="C57" s="854">
        <f>SUM(C48:C56)</f>
        <v>503355.08000000007</v>
      </c>
      <c r="D57" s="846">
        <f>SUM(D48:D56)</f>
        <v>497945.91000000003</v>
      </c>
      <c r="E57" s="847">
        <f>SUM(E48:E56)</f>
        <v>501317.69000000006</v>
      </c>
      <c r="F57" s="846">
        <f>SUM(F48:F56)</f>
        <v>503610.2</v>
      </c>
      <c r="H57" s="33"/>
    </row>
    <row r="58" spans="1:8" ht="15" customHeight="1" x14ac:dyDescent="0.3">
      <c r="A58" s="24"/>
      <c r="B58" s="848"/>
      <c r="C58" s="845"/>
      <c r="D58" s="848"/>
      <c r="E58" s="849"/>
      <c r="F58" s="848"/>
    </row>
    <row r="59" spans="1:8" ht="15" customHeight="1" x14ac:dyDescent="0.3">
      <c r="A59" s="10" t="s">
        <v>39</v>
      </c>
      <c r="B59" s="352"/>
      <c r="C59" s="354"/>
      <c r="D59" s="352"/>
      <c r="E59" s="354"/>
      <c r="F59" s="352"/>
    </row>
    <row r="60" spans="1:8" ht="15" customHeight="1" x14ac:dyDescent="0.3">
      <c r="A60" s="17" t="s">
        <v>117</v>
      </c>
      <c r="B60" s="802">
        <v>91076</v>
      </c>
      <c r="C60" s="802">
        <v>109946.57</v>
      </c>
      <c r="D60" s="352">
        <v>92867.77</v>
      </c>
      <c r="E60" s="802">
        <v>92867.77</v>
      </c>
      <c r="F60" s="802">
        <v>23526.3</v>
      </c>
    </row>
    <row r="61" spans="1:8" ht="15" customHeight="1" x14ac:dyDescent="0.3">
      <c r="A61" s="17" t="s">
        <v>40</v>
      </c>
      <c r="B61" s="802">
        <v>3080.67</v>
      </c>
      <c r="C61" s="802">
        <v>0</v>
      </c>
      <c r="D61" s="352">
        <v>0</v>
      </c>
      <c r="E61" s="802">
        <v>0</v>
      </c>
      <c r="F61" s="802">
        <v>0</v>
      </c>
    </row>
    <row r="62" spans="1:8" ht="15" customHeight="1" x14ac:dyDescent="0.3">
      <c r="A62" s="25"/>
      <c r="B62" s="355"/>
      <c r="C62" s="362"/>
      <c r="D62" s="355"/>
      <c r="E62" s="362"/>
      <c r="F62" s="355"/>
    </row>
    <row r="63" spans="1:8" ht="15" customHeight="1" x14ac:dyDescent="0.3">
      <c r="A63" s="14" t="s">
        <v>41</v>
      </c>
      <c r="B63" s="846">
        <f>SUM(B60:B62)</f>
        <v>94156.67</v>
      </c>
      <c r="C63" s="847">
        <f>SUM(C60:C62)</f>
        <v>109946.57</v>
      </c>
      <c r="D63" s="846">
        <f>SUM(D60:D62)</f>
        <v>92867.77</v>
      </c>
      <c r="E63" s="847">
        <f>SUM(E60:E62)</f>
        <v>92867.77</v>
      </c>
      <c r="F63" s="846">
        <f>SUM(F60:F62)</f>
        <v>23526.3</v>
      </c>
      <c r="H63" s="33"/>
    </row>
    <row r="64" spans="1:8" ht="15" customHeight="1" x14ac:dyDescent="0.3">
      <c r="A64" s="24"/>
      <c r="B64" s="848"/>
      <c r="C64" s="849"/>
      <c r="D64" s="848"/>
      <c r="E64" s="849"/>
      <c r="F64" s="848"/>
    </row>
    <row r="65" spans="1:6" ht="15" customHeight="1" x14ac:dyDescent="0.3">
      <c r="A65" s="10" t="s">
        <v>42</v>
      </c>
      <c r="B65" s="352"/>
      <c r="C65" s="354"/>
      <c r="D65" s="352"/>
      <c r="E65" s="354"/>
      <c r="F65" s="352"/>
    </row>
    <row r="66" spans="1:6" ht="15" customHeight="1" x14ac:dyDescent="0.3">
      <c r="A66" s="17" t="s">
        <v>43</v>
      </c>
      <c r="B66" s="802">
        <v>33326147.93</v>
      </c>
      <c r="C66" s="802">
        <v>31890610.809999999</v>
      </c>
      <c r="D66" s="352">
        <v>31893134.120000001</v>
      </c>
      <c r="E66" s="802">
        <v>31885749.620000001</v>
      </c>
      <c r="F66" s="802">
        <v>31518229.059999999</v>
      </c>
    </row>
    <row r="67" spans="1:6" ht="15" customHeight="1" x14ac:dyDescent="0.3">
      <c r="A67" s="17" t="s">
        <v>44</v>
      </c>
      <c r="B67" s="802">
        <v>0</v>
      </c>
      <c r="C67" s="802">
        <v>0</v>
      </c>
      <c r="D67" s="352">
        <v>0</v>
      </c>
      <c r="E67" s="802">
        <v>0</v>
      </c>
      <c r="F67" s="802">
        <v>0</v>
      </c>
    </row>
    <row r="68" spans="1:6" ht="15" customHeight="1" x14ac:dyDescent="0.3">
      <c r="A68" s="17" t="s">
        <v>45</v>
      </c>
      <c r="B68" s="802">
        <v>-2787.58</v>
      </c>
      <c r="C68" s="802">
        <v>-2787.58</v>
      </c>
      <c r="D68" s="352">
        <v>-2787.58</v>
      </c>
      <c r="E68" s="802">
        <v>-2787.58</v>
      </c>
      <c r="F68" s="802">
        <v>-2787.58</v>
      </c>
    </row>
    <row r="69" spans="1:6" ht="15" customHeight="1" x14ac:dyDescent="0.3">
      <c r="A69" s="18" t="s">
        <v>46</v>
      </c>
      <c r="B69" s="802">
        <v>-1453020.57</v>
      </c>
      <c r="C69" s="802">
        <v>472564.86</v>
      </c>
      <c r="D69" s="355">
        <v>971501.1</v>
      </c>
      <c r="E69" s="802">
        <v>202277.89</v>
      </c>
      <c r="F69" s="802">
        <v>426190.85</v>
      </c>
    </row>
    <row r="70" spans="1:6" ht="15" customHeight="1" x14ac:dyDescent="0.3">
      <c r="A70" s="14" t="s">
        <v>47</v>
      </c>
      <c r="B70" s="846">
        <f>SUM(B66:B69)</f>
        <v>31870339.780000001</v>
      </c>
      <c r="C70" s="847">
        <f>SUM(C66:C69)</f>
        <v>32360388.09</v>
      </c>
      <c r="D70" s="846">
        <f>SUM(D66:D69)</f>
        <v>32861847.640000004</v>
      </c>
      <c r="E70" s="847">
        <f>SUM(E66:E69)</f>
        <v>32085239.930000003</v>
      </c>
      <c r="F70" s="846">
        <f>SUM(F66:F69)</f>
        <v>31941632.330000002</v>
      </c>
    </row>
    <row r="71" spans="1:6" ht="15.75" customHeight="1" x14ac:dyDescent="0.3">
      <c r="A71" s="26"/>
      <c r="B71" s="373"/>
      <c r="C71" s="375"/>
      <c r="D71" s="373"/>
      <c r="E71" s="375"/>
      <c r="F71" s="373"/>
    </row>
    <row r="72" spans="1:6" ht="16.5" customHeight="1" thickBot="1" x14ac:dyDescent="0.35">
      <c r="A72" s="27" t="s">
        <v>48</v>
      </c>
      <c r="B72" s="855">
        <f>B70+B63+B57</f>
        <v>32783567.680000003</v>
      </c>
      <c r="C72" s="856">
        <f>C70+C63+C57</f>
        <v>32973689.740000002</v>
      </c>
      <c r="D72" s="855">
        <f>D70+D63+D57</f>
        <v>33452661.320000004</v>
      </c>
      <c r="E72" s="856">
        <f>E70+E63+E57</f>
        <v>32679425.390000004</v>
      </c>
      <c r="F72" s="855">
        <f>F70+F63+F57</f>
        <v>32468768.830000002</v>
      </c>
    </row>
    <row r="75" spans="1:6" ht="15.75" customHeight="1" x14ac:dyDescent="0.25">
      <c r="C75" s="39"/>
    </row>
    <row r="77" spans="1:6" ht="15.75" customHeight="1" x14ac:dyDescent="0.25">
      <c r="B77" s="33"/>
      <c r="C77" s="40"/>
    </row>
  </sheetData>
  <sheetProtection algorithmName="SHA-512" hashValue="Tp9ggXENpoWLQSO++4Bbkwany71AZijULb4YMVG1uhOoa8RKCzoWP9IM0qzBw6BOWC1ug/pLJdhNyMV5+ud0hQ==" saltValue="GXxuo48l5BeZzBPypgf9BA==" spinCount="100000" sheet="1" objects="1" scenarios="1"/>
  <mergeCells count="7">
    <mergeCell ref="A7:F7"/>
    <mergeCell ref="A1:F1"/>
    <mergeCell ref="A3:F3"/>
    <mergeCell ref="G3:H3"/>
    <mergeCell ref="A4:F4"/>
    <mergeCell ref="A5:F5"/>
    <mergeCell ref="A6:F6"/>
  </mergeCells>
  <pageMargins left="0.7" right="0.7" top="0.75" bottom="0.75" header="0.3" footer="0.3"/>
  <pageSetup scale="5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AE83"/>
  <sheetViews>
    <sheetView zoomScale="60" zoomScaleNormal="6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9" sqref="E19"/>
    </sheetView>
  </sheetViews>
  <sheetFormatPr defaultRowHeight="18.75" x14ac:dyDescent="0.3"/>
  <cols>
    <col min="1" max="1" width="63.28515625" style="46" customWidth="1"/>
    <col min="2" max="3" width="14.140625" style="379" customWidth="1"/>
    <col min="4" max="4" width="13.140625" style="379" customWidth="1"/>
    <col min="5" max="5" width="11" style="46" customWidth="1"/>
    <col min="6" max="6" width="1" style="46" customWidth="1"/>
    <col min="7" max="7" width="14.5703125" style="379" customWidth="1"/>
    <col min="8" max="8" width="14.28515625" style="379" customWidth="1"/>
    <col min="9" max="9" width="13" style="379" customWidth="1"/>
    <col min="10" max="10" width="11.140625" style="46" customWidth="1"/>
    <col min="11" max="11" width="1.140625" style="46" customWidth="1"/>
    <col min="12" max="12" width="14" style="379" customWidth="1"/>
    <col min="13" max="13" width="14.140625" style="379" customWidth="1"/>
    <col min="14" max="14" width="12.85546875" style="379" customWidth="1"/>
    <col min="15" max="15" width="9.5703125" style="46" customWidth="1"/>
    <col min="16" max="16" width="1" style="46" customWidth="1"/>
    <col min="17" max="17" width="13.85546875" style="379" customWidth="1"/>
    <col min="18" max="18" width="13.140625" style="379" customWidth="1"/>
    <col min="19" max="19" width="12.85546875" style="379" customWidth="1"/>
    <col min="20" max="20" width="10.140625" style="46" customWidth="1"/>
    <col min="21" max="21" width="1.28515625" style="46" customWidth="1"/>
    <col min="22" max="22" width="14.28515625" style="379" customWidth="1"/>
    <col min="23" max="23" width="14.140625" style="379" customWidth="1"/>
    <col min="24" max="24" width="13" style="379" customWidth="1"/>
    <col min="25" max="25" width="9.42578125" style="46" customWidth="1"/>
    <col min="26" max="26" width="1" style="46" customWidth="1"/>
    <col min="27" max="27" width="16.28515625" style="379" customWidth="1"/>
    <col min="28" max="28" width="13.7109375" style="379" customWidth="1"/>
    <col min="29" max="29" width="11" style="46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873" t="s">
        <v>49</v>
      </c>
      <c r="B1" s="459"/>
      <c r="C1" s="459"/>
      <c r="D1" s="459"/>
      <c r="E1" s="459"/>
      <c r="F1" s="459"/>
      <c r="G1" s="459"/>
      <c r="H1" s="459"/>
      <c r="I1" s="380"/>
      <c r="J1" s="458"/>
      <c r="K1" s="85"/>
      <c r="L1" s="381"/>
      <c r="M1" s="381"/>
      <c r="N1" s="381"/>
      <c r="O1" s="85"/>
      <c r="P1" s="116"/>
      <c r="Q1" s="380"/>
      <c r="R1" s="382"/>
      <c r="S1" s="394"/>
      <c r="T1" s="459"/>
      <c r="U1" s="116"/>
      <c r="V1" s="395"/>
      <c r="W1" s="395"/>
      <c r="X1" s="395"/>
      <c r="Y1" s="116"/>
      <c r="Z1" s="116"/>
      <c r="AA1" s="395"/>
      <c r="AB1" s="395"/>
      <c r="AC1" s="116"/>
      <c r="AD1" s="116"/>
      <c r="AE1" s="120"/>
    </row>
    <row r="2" spans="1:31" x14ac:dyDescent="0.3">
      <c r="A2" s="883"/>
      <c r="B2" s="384"/>
      <c r="C2" s="384"/>
      <c r="D2" s="384"/>
      <c r="E2" s="460"/>
      <c r="F2" s="460"/>
      <c r="G2" s="384"/>
      <c r="H2" s="384"/>
      <c r="I2" s="383"/>
      <c r="J2" s="92"/>
      <c r="K2" s="93"/>
      <c r="L2" s="327"/>
      <c r="M2" s="327"/>
      <c r="N2" s="327"/>
      <c r="O2" s="93"/>
      <c r="P2" s="93"/>
      <c r="Q2" s="383"/>
      <c r="R2" s="384"/>
      <c r="S2" s="396"/>
      <c r="T2" s="460"/>
      <c r="U2" s="93"/>
      <c r="V2" s="397"/>
      <c r="W2" s="397"/>
      <c r="X2" s="397"/>
      <c r="Y2" s="130"/>
      <c r="Z2" s="93"/>
      <c r="AA2" s="397"/>
      <c r="AB2" s="397"/>
      <c r="AC2" s="130"/>
      <c r="AD2" s="93"/>
      <c r="AE2" s="125"/>
    </row>
    <row r="3" spans="1:31" s="49" customFormat="1" x14ac:dyDescent="0.3">
      <c r="A3" s="874" t="s">
        <v>184</v>
      </c>
      <c r="B3" s="875"/>
      <c r="C3" s="875"/>
      <c r="D3" s="875"/>
      <c r="E3" s="875"/>
      <c r="F3" s="875"/>
      <c r="G3" s="875"/>
      <c r="H3" s="875"/>
      <c r="I3" s="385"/>
      <c r="J3" s="461"/>
      <c r="K3" s="99"/>
      <c r="L3" s="386"/>
      <c r="M3" s="386"/>
      <c r="N3" s="386"/>
      <c r="O3" s="99"/>
      <c r="P3" s="126"/>
      <c r="Q3" s="385"/>
      <c r="R3" s="387"/>
      <c r="S3" s="393"/>
      <c r="T3" s="462"/>
      <c r="U3" s="126"/>
      <c r="V3" s="398"/>
      <c r="W3" s="398"/>
      <c r="X3" s="398"/>
      <c r="Y3" s="126"/>
      <c r="Z3" s="126"/>
      <c r="AA3" s="398"/>
      <c r="AB3" s="398"/>
      <c r="AC3" s="126"/>
      <c r="AD3" s="126"/>
      <c r="AE3" s="129"/>
    </row>
    <row r="4" spans="1:31" x14ac:dyDescent="0.3">
      <c r="A4" s="876" t="s">
        <v>51</v>
      </c>
      <c r="B4" s="877"/>
      <c r="C4" s="877"/>
      <c r="D4" s="877"/>
      <c r="E4" s="877"/>
      <c r="F4" s="877"/>
      <c r="G4" s="877"/>
      <c r="H4" s="877"/>
      <c r="I4" s="383"/>
      <c r="J4" s="463"/>
      <c r="K4" s="104"/>
      <c r="L4" s="388"/>
      <c r="M4" s="388"/>
      <c r="N4" s="388"/>
      <c r="O4" s="104"/>
      <c r="P4" s="130"/>
      <c r="Q4" s="389"/>
      <c r="R4" s="390"/>
      <c r="S4" s="396"/>
      <c r="T4" s="464"/>
      <c r="U4" s="130"/>
      <c r="V4" s="397"/>
      <c r="W4" s="397"/>
      <c r="X4" s="397"/>
      <c r="Y4" s="130"/>
      <c r="Z4" s="130"/>
      <c r="AA4" s="397"/>
      <c r="AB4" s="397"/>
      <c r="AC4" s="130"/>
      <c r="AD4" s="130"/>
      <c r="AE4" s="125"/>
    </row>
    <row r="5" spans="1:31" x14ac:dyDescent="0.3">
      <c r="A5" s="876" t="s">
        <v>52</v>
      </c>
      <c r="B5" s="460"/>
      <c r="C5" s="460"/>
      <c r="D5" s="460"/>
      <c r="E5" s="460"/>
      <c r="F5" s="460"/>
      <c r="G5" s="460"/>
      <c r="H5" s="460"/>
      <c r="I5" s="383"/>
      <c r="J5" s="92"/>
      <c r="K5" s="104"/>
      <c r="L5" s="388"/>
      <c r="M5" s="388"/>
      <c r="N5" s="388"/>
      <c r="O5" s="104"/>
      <c r="P5" s="130"/>
      <c r="Q5" s="389"/>
      <c r="R5" s="390"/>
      <c r="S5" s="396"/>
      <c r="T5" s="464"/>
      <c r="U5" s="130"/>
      <c r="V5" s="397"/>
      <c r="W5" s="397"/>
      <c r="X5" s="397"/>
      <c r="Y5" s="130"/>
      <c r="Z5" s="130"/>
      <c r="AA5" s="397"/>
      <c r="AB5" s="397"/>
      <c r="AC5" s="130"/>
      <c r="AD5" s="130"/>
      <c r="AE5" s="125"/>
    </row>
    <row r="6" spans="1:31" s="49" customFormat="1" x14ac:dyDescent="0.3">
      <c r="A6" s="874" t="s">
        <v>191</v>
      </c>
      <c r="B6" s="879"/>
      <c r="C6" s="879"/>
      <c r="D6" s="879"/>
      <c r="E6" s="879"/>
      <c r="F6" s="879"/>
      <c r="G6" s="879"/>
      <c r="H6" s="879"/>
      <c r="I6" s="385"/>
      <c r="J6" s="461"/>
      <c r="K6" s="110"/>
      <c r="L6" s="391"/>
      <c r="M6" s="391"/>
      <c r="N6" s="391"/>
      <c r="O6" s="110"/>
      <c r="P6" s="126"/>
      <c r="Q6" s="392"/>
      <c r="R6" s="393"/>
      <c r="S6" s="393"/>
      <c r="T6" s="465"/>
      <c r="U6" s="126"/>
      <c r="V6" s="398"/>
      <c r="W6" s="398"/>
      <c r="X6" s="398"/>
      <c r="Y6" s="126"/>
      <c r="Z6" s="126"/>
      <c r="AA6" s="386"/>
      <c r="AB6" s="386"/>
      <c r="AC6" s="126"/>
      <c r="AD6" s="126"/>
      <c r="AE6" s="129"/>
    </row>
    <row r="7" spans="1:31" s="49" customFormat="1" x14ac:dyDescent="0.3">
      <c r="A7" s="872" t="s">
        <v>2</v>
      </c>
      <c r="B7" s="462"/>
      <c r="C7" s="462"/>
      <c r="D7" s="462"/>
      <c r="E7" s="462"/>
      <c r="F7" s="462"/>
      <c r="G7" s="462"/>
      <c r="H7" s="462"/>
      <c r="I7" s="385"/>
      <c r="J7" s="466"/>
      <c r="K7" s="110"/>
      <c r="L7" s="391"/>
      <c r="M7" s="391"/>
      <c r="N7" s="391"/>
      <c r="O7" s="110"/>
      <c r="P7" s="126"/>
      <c r="Q7" s="392"/>
      <c r="R7" s="393"/>
      <c r="S7" s="393"/>
      <c r="T7" s="465"/>
      <c r="U7" s="126"/>
      <c r="V7" s="398"/>
      <c r="W7" s="398"/>
      <c r="X7" s="398"/>
      <c r="Y7" s="126"/>
      <c r="Z7" s="126"/>
      <c r="AA7" s="398"/>
      <c r="AB7" s="398"/>
      <c r="AC7" s="126"/>
      <c r="AD7" s="126"/>
      <c r="AE7" s="129"/>
    </row>
    <row r="8" spans="1:31" ht="19.5" thickBot="1" x14ac:dyDescent="0.35">
      <c r="A8" s="467" t="s">
        <v>169</v>
      </c>
      <c r="B8" s="882"/>
      <c r="C8" s="881"/>
      <c r="D8" s="881"/>
      <c r="E8" s="880"/>
      <c r="F8" s="880"/>
      <c r="G8" s="881"/>
      <c r="H8" s="881"/>
      <c r="I8" s="397"/>
      <c r="J8" s="130"/>
      <c r="K8" s="130"/>
      <c r="L8" s="397"/>
      <c r="M8" s="397"/>
      <c r="N8" s="397"/>
      <c r="O8" s="130"/>
      <c r="P8" s="130"/>
      <c r="Q8" s="397"/>
      <c r="R8" s="397"/>
      <c r="S8" s="397"/>
      <c r="T8" s="130"/>
      <c r="U8" s="130"/>
      <c r="V8" s="397"/>
      <c r="W8" s="397"/>
      <c r="X8" s="397"/>
      <c r="Y8" s="130"/>
      <c r="Z8" s="130"/>
      <c r="AA8" s="397"/>
      <c r="AB8" s="397"/>
      <c r="AC8" s="130"/>
      <c r="AD8" s="130"/>
      <c r="AE8" s="125"/>
    </row>
    <row r="9" spans="1:31" x14ac:dyDescent="0.3">
      <c r="A9" s="468"/>
      <c r="B9" s="1744" t="s">
        <v>53</v>
      </c>
      <c r="C9" s="1717"/>
      <c r="D9" s="1718"/>
      <c r="E9" s="1719"/>
      <c r="F9" s="1239"/>
      <c r="G9" s="1725" t="s">
        <v>54</v>
      </c>
      <c r="H9" s="1718"/>
      <c r="I9" s="1718"/>
      <c r="J9" s="1719"/>
      <c r="K9" s="1239"/>
      <c r="L9" s="1745" t="s">
        <v>55</v>
      </c>
      <c r="M9" s="1727"/>
      <c r="N9" s="1727"/>
      <c r="O9" s="1746"/>
      <c r="P9" s="1239"/>
      <c r="Q9" s="1725" t="s">
        <v>56</v>
      </c>
      <c r="R9" s="1718"/>
      <c r="S9" s="1718"/>
      <c r="T9" s="1719"/>
      <c r="U9" s="794"/>
      <c r="V9" s="1745" t="s">
        <v>57</v>
      </c>
      <c r="W9" s="1727"/>
      <c r="X9" s="1727"/>
      <c r="Y9" s="1746"/>
      <c r="Z9" s="1239"/>
      <c r="AA9" s="1745" t="s">
        <v>190</v>
      </c>
      <c r="AB9" s="1727"/>
      <c r="AC9" s="1746"/>
      <c r="AD9" s="1239"/>
      <c r="AE9" s="1738" t="s">
        <v>58</v>
      </c>
    </row>
    <row r="10" spans="1:31" ht="37.5" x14ac:dyDescent="0.3">
      <c r="A10" s="469" t="s">
        <v>59</v>
      </c>
      <c r="B10" s="786" t="s">
        <v>60</v>
      </c>
      <c r="C10" s="400" t="s">
        <v>61</v>
      </c>
      <c r="D10" s="1710" t="s">
        <v>62</v>
      </c>
      <c r="E10" s="1711"/>
      <c r="F10" s="139"/>
      <c r="G10" s="401" t="s">
        <v>60</v>
      </c>
      <c r="H10" s="402" t="s">
        <v>61</v>
      </c>
      <c r="I10" s="1714" t="s">
        <v>62</v>
      </c>
      <c r="J10" s="1711"/>
      <c r="K10" s="139"/>
      <c r="L10" s="401" t="s">
        <v>60</v>
      </c>
      <c r="M10" s="402" t="s">
        <v>61</v>
      </c>
      <c r="N10" s="1714" t="s">
        <v>62</v>
      </c>
      <c r="O10" s="1711"/>
      <c r="P10" s="139"/>
      <c r="Q10" s="401" t="s">
        <v>60</v>
      </c>
      <c r="R10" s="402" t="s">
        <v>61</v>
      </c>
      <c r="S10" s="1714" t="s">
        <v>62</v>
      </c>
      <c r="T10" s="1711"/>
      <c r="U10" s="795"/>
      <c r="V10" s="401" t="s">
        <v>60</v>
      </c>
      <c r="W10" s="402" t="s">
        <v>61</v>
      </c>
      <c r="X10" s="1714" t="s">
        <v>62</v>
      </c>
      <c r="Y10" s="1711"/>
      <c r="Z10" s="139"/>
      <c r="AA10" s="403" t="s">
        <v>63</v>
      </c>
      <c r="AB10" s="1714" t="s">
        <v>64</v>
      </c>
      <c r="AC10" s="1711"/>
      <c r="AD10" s="139"/>
      <c r="AE10" s="1739"/>
    </row>
    <row r="11" spans="1:31" ht="19.5" thickBot="1" x14ac:dyDescent="0.35">
      <c r="A11" s="470"/>
      <c r="B11" s="1453" t="s">
        <v>107</v>
      </c>
      <c r="C11" s="1455" t="s">
        <v>107</v>
      </c>
      <c r="D11" s="1453" t="s">
        <v>107</v>
      </c>
      <c r="E11" s="471" t="s">
        <v>65</v>
      </c>
      <c r="F11" s="146"/>
      <c r="G11" s="579" t="s">
        <v>107</v>
      </c>
      <c r="H11" s="580" t="s">
        <v>107</v>
      </c>
      <c r="I11" s="581" t="s">
        <v>107</v>
      </c>
      <c r="J11" s="472" t="s">
        <v>65</v>
      </c>
      <c r="K11" s="146"/>
      <c r="L11" s="579" t="s">
        <v>107</v>
      </c>
      <c r="M11" s="580" t="s">
        <v>107</v>
      </c>
      <c r="N11" s="581" t="s">
        <v>107</v>
      </c>
      <c r="O11" s="472" t="s">
        <v>65</v>
      </c>
      <c r="P11" s="146"/>
      <c r="Q11" s="579" t="s">
        <v>107</v>
      </c>
      <c r="R11" s="580" t="s">
        <v>107</v>
      </c>
      <c r="S11" s="581" t="s">
        <v>107</v>
      </c>
      <c r="T11" s="472" t="s">
        <v>65</v>
      </c>
      <c r="U11" s="796"/>
      <c r="V11" s="579" t="s">
        <v>107</v>
      </c>
      <c r="W11" s="580" t="s">
        <v>107</v>
      </c>
      <c r="X11" s="581" t="s">
        <v>107</v>
      </c>
      <c r="Y11" s="472" t="s">
        <v>65</v>
      </c>
      <c r="Z11" s="146"/>
      <c r="AA11" s="579" t="s">
        <v>107</v>
      </c>
      <c r="AB11" s="581" t="s">
        <v>107</v>
      </c>
      <c r="AC11" s="472" t="s">
        <v>65</v>
      </c>
      <c r="AD11" s="146"/>
      <c r="AE11" s="1777"/>
    </row>
    <row r="12" spans="1:31" x14ac:dyDescent="0.3">
      <c r="A12" s="1335"/>
      <c r="B12" s="397"/>
      <c r="C12" s="1456"/>
      <c r="D12" s="1454"/>
      <c r="E12" s="196"/>
      <c r="F12" s="156"/>
      <c r="G12" s="889"/>
      <c r="H12" s="905"/>
      <c r="I12" s="905"/>
      <c r="J12" s="1457"/>
      <c r="K12" s="156"/>
      <c r="L12" s="889"/>
      <c r="M12" s="906"/>
      <c r="N12" s="605"/>
      <c r="O12" s="906"/>
      <c r="P12" s="156"/>
      <c r="Q12" s="889"/>
      <c r="R12" s="906"/>
      <c r="S12" s="415"/>
      <c r="T12" s="194"/>
      <c r="U12" s="797"/>
      <c r="V12" s="414"/>
      <c r="W12" s="415"/>
      <c r="X12" s="415"/>
      <c r="Y12" s="194"/>
      <c r="Z12" s="156"/>
      <c r="AA12" s="414"/>
      <c r="AB12" s="415"/>
      <c r="AC12" s="196"/>
      <c r="AD12" s="156"/>
      <c r="AE12" s="1444"/>
    </row>
    <row r="13" spans="1:31" x14ac:dyDescent="0.3">
      <c r="A13" s="1465" t="s">
        <v>66</v>
      </c>
      <c r="B13" s="397"/>
      <c r="C13" s="416"/>
      <c r="D13" s="567"/>
      <c r="E13" s="196"/>
      <c r="F13" s="160"/>
      <c r="G13" s="889"/>
      <c r="H13" s="891"/>
      <c r="I13" s="891"/>
      <c r="J13" s="1458"/>
      <c r="K13" s="160"/>
      <c r="L13" s="889"/>
      <c r="M13" s="904"/>
      <c r="N13" s="605"/>
      <c r="O13" s="904"/>
      <c r="P13" s="160"/>
      <c r="Q13" s="889"/>
      <c r="R13" s="904"/>
      <c r="S13" s="415"/>
      <c r="T13" s="194"/>
      <c r="U13" s="781"/>
      <c r="V13" s="414"/>
      <c r="W13" s="415"/>
      <c r="X13" s="415"/>
      <c r="Y13" s="194"/>
      <c r="Z13" s="160"/>
      <c r="AA13" s="414"/>
      <c r="AB13" s="415"/>
      <c r="AC13" s="196"/>
      <c r="AD13" s="160"/>
      <c r="AE13" s="1178"/>
    </row>
    <row r="14" spans="1:31" x14ac:dyDescent="0.3">
      <c r="A14" s="1335" t="s">
        <v>132</v>
      </c>
      <c r="B14" s="397">
        <v>0</v>
      </c>
      <c r="C14" s="416">
        <v>0</v>
      </c>
      <c r="D14" s="567">
        <f>C14-B14</f>
        <v>0</v>
      </c>
      <c r="E14" s="196" t="str">
        <f>IF(ISERROR(D14/B14),"-",D14/B14)</f>
        <v>-</v>
      </c>
      <c r="F14" s="166"/>
      <c r="G14" s="889">
        <v>0</v>
      </c>
      <c r="H14" s="891">
        <v>0</v>
      </c>
      <c r="I14" s="891">
        <v>0</v>
      </c>
      <c r="J14" s="196" t="str">
        <f t="shared" ref="J14:J24" si="0">IF(ISERROR(I14/G14),"-",I14/G14)</f>
        <v>-</v>
      </c>
      <c r="K14" s="166"/>
      <c r="L14" s="889">
        <v>0</v>
      </c>
      <c r="M14" s="904">
        <v>0</v>
      </c>
      <c r="N14" s="605">
        <f>M14-L14</f>
        <v>0</v>
      </c>
      <c r="O14" s="194" t="str">
        <f t="shared" ref="O14:O25" si="1">IF(ISERROR(N14/L14),"-",N14/L14)</f>
        <v>-</v>
      </c>
      <c r="P14" s="166"/>
      <c r="Q14" s="889">
        <v>0</v>
      </c>
      <c r="R14" s="904">
        <v>0</v>
      </c>
      <c r="S14" s="415">
        <f>R14-Q14</f>
        <v>0</v>
      </c>
      <c r="T14" s="194" t="str">
        <f t="shared" ref="T14:T29" si="2">IF(ISERROR(S14/Q14),"-",S14/Q14)</f>
        <v>-</v>
      </c>
      <c r="U14" s="782"/>
      <c r="V14" s="414">
        <f>B14+G14+L14+Q14</f>
        <v>0</v>
      </c>
      <c r="W14" s="415">
        <f>C14+H14+M14+R14</f>
        <v>0</v>
      </c>
      <c r="X14" s="415">
        <f>W14-V14</f>
        <v>0</v>
      </c>
      <c r="Y14" s="194" t="str">
        <f t="shared" ref="Y14:Y24" si="3">IF(ISERROR(X14/V14),"-",X14/V14)</f>
        <v>-</v>
      </c>
      <c r="Z14" s="166"/>
      <c r="AA14" s="414">
        <v>0</v>
      </c>
      <c r="AB14" s="415">
        <f>AA14-W14</f>
        <v>0</v>
      </c>
      <c r="AC14" s="196" t="str">
        <f t="shared" ref="AC14:AC15" si="4">IF(ISERROR(AB14/AA14),"-",AB14/AA14)</f>
        <v>-</v>
      </c>
      <c r="AD14" s="166"/>
      <c r="AE14" s="1178"/>
    </row>
    <row r="15" spans="1:31" x14ac:dyDescent="0.3">
      <c r="A15" s="476" t="s">
        <v>111</v>
      </c>
      <c r="B15" s="397">
        <v>0</v>
      </c>
      <c r="C15" s="416">
        <v>0</v>
      </c>
      <c r="D15" s="567">
        <f t="shared" ref="D15:D23" si="5">C15-B15</f>
        <v>0</v>
      </c>
      <c r="E15" s="196" t="str">
        <f t="shared" ref="E15:E24" si="6">IF(ISERROR(D15/B15),"-",D15/B15)</f>
        <v>-</v>
      </c>
      <c r="F15" s="166"/>
      <c r="G15" s="414">
        <v>0</v>
      </c>
      <c r="H15" s="415">
        <v>0</v>
      </c>
      <c r="I15" s="415">
        <f t="shared" ref="I15:I23" si="7">H15-G15</f>
        <v>0</v>
      </c>
      <c r="J15" s="196" t="str">
        <f t="shared" si="0"/>
        <v>-</v>
      </c>
      <c r="K15" s="166"/>
      <c r="L15" s="889">
        <v>0</v>
      </c>
      <c r="M15" s="904">
        <v>0</v>
      </c>
      <c r="N15" s="415">
        <f t="shared" ref="N15:N22" si="8">M15-L15</f>
        <v>0</v>
      </c>
      <c r="O15" s="194" t="str">
        <f t="shared" si="1"/>
        <v>-</v>
      </c>
      <c r="P15" s="166"/>
      <c r="Q15" s="417">
        <v>0</v>
      </c>
      <c r="R15" s="567">
        <v>0</v>
      </c>
      <c r="S15" s="415">
        <f t="shared" ref="S15:S24" si="9">R15-Q15</f>
        <v>0</v>
      </c>
      <c r="T15" s="194" t="str">
        <f t="shared" si="2"/>
        <v>-</v>
      </c>
      <c r="U15" s="782"/>
      <c r="V15" s="414">
        <f t="shared" ref="V15:V24" si="10">B15+G15+L15+Q15</f>
        <v>0</v>
      </c>
      <c r="W15" s="415">
        <f t="shared" ref="W15:W24" si="11">C15+H15+M15+R15</f>
        <v>0</v>
      </c>
      <c r="X15" s="415">
        <f t="shared" ref="X15:X24" si="12">W15-V15</f>
        <v>0</v>
      </c>
      <c r="Y15" s="194" t="str">
        <f t="shared" si="3"/>
        <v>-</v>
      </c>
      <c r="Z15" s="166"/>
      <c r="AA15" s="414">
        <v>0</v>
      </c>
      <c r="AB15" s="415">
        <f t="shared" ref="AB15:AB22" si="13">AA15-W15</f>
        <v>0</v>
      </c>
      <c r="AC15" s="196" t="str">
        <f t="shared" si="4"/>
        <v>-</v>
      </c>
      <c r="AD15" s="166"/>
      <c r="AE15" s="1178"/>
    </row>
    <row r="16" spans="1:31" x14ac:dyDescent="0.3">
      <c r="A16" s="476" t="s">
        <v>69</v>
      </c>
      <c r="B16" s="397">
        <v>182545.60376130012</v>
      </c>
      <c r="C16" s="416">
        <v>128125.65000000001</v>
      </c>
      <c r="D16" s="567">
        <f t="shared" si="5"/>
        <v>-54419.953761300116</v>
      </c>
      <c r="E16" s="196">
        <f>IF(ISERROR(D16/B16),"-",D16/B16)</f>
        <v>-0.29811703289475333</v>
      </c>
      <c r="F16" s="171"/>
      <c r="G16" s="414">
        <v>182545.60376130012</v>
      </c>
      <c r="H16" s="415">
        <v>120263.43000000001</v>
      </c>
      <c r="I16" s="415">
        <f t="shared" si="7"/>
        <v>-62282.173761300117</v>
      </c>
      <c r="J16" s="196">
        <f t="shared" si="0"/>
        <v>-0.34118692796755268</v>
      </c>
      <c r="K16" s="171"/>
      <c r="L16" s="889">
        <v>182545.60376130012</v>
      </c>
      <c r="M16" s="904">
        <v>120176.44</v>
      </c>
      <c r="N16" s="415">
        <f t="shared" si="8"/>
        <v>-62369.163761300122</v>
      </c>
      <c r="O16" s="194">
        <f t="shared" si="1"/>
        <v>-0.34166346642264334</v>
      </c>
      <c r="P16" s="171"/>
      <c r="Q16" s="417">
        <v>182545.60376130012</v>
      </c>
      <c r="R16" s="567">
        <v>318923.92</v>
      </c>
      <c r="S16" s="415">
        <f>R16-Q16</f>
        <v>136378.31623869986</v>
      </c>
      <c r="T16" s="194">
        <f>IF(ISERROR(S16/Q16),"-",S16/Q16)</f>
        <v>0.74709175914765147</v>
      </c>
      <c r="U16" s="783"/>
      <c r="V16" s="414">
        <f>B16+G16+L16+Q16</f>
        <v>730182.4150452005</v>
      </c>
      <c r="W16" s="415">
        <f>C16+H16+M16+R16</f>
        <v>687489.44</v>
      </c>
      <c r="X16" s="415">
        <f t="shared" si="12"/>
        <v>-42692.975045200554</v>
      </c>
      <c r="Y16" s="194">
        <f t="shared" si="3"/>
        <v>-5.8468917034324538E-2</v>
      </c>
      <c r="Z16" s="171"/>
      <c r="AA16" s="414">
        <v>610182.4150452005</v>
      </c>
      <c r="AB16" s="415">
        <f>AA16-W16</f>
        <v>-77307.024954799446</v>
      </c>
      <c r="AC16" s="196">
        <f>IF(ISERROR(AB16/AA16),"-",AB16/AA16)</f>
        <v>-0.12669494080564869</v>
      </c>
      <c r="AD16" s="171"/>
      <c r="AE16" s="1179"/>
    </row>
    <row r="17" spans="1:31" x14ac:dyDescent="0.3">
      <c r="A17" s="476" t="s">
        <v>68</v>
      </c>
      <c r="B17" s="397">
        <v>0</v>
      </c>
      <c r="C17" s="416">
        <v>0</v>
      </c>
      <c r="D17" s="567">
        <f t="shared" si="5"/>
        <v>0</v>
      </c>
      <c r="E17" s="196" t="str">
        <f t="shared" si="6"/>
        <v>-</v>
      </c>
      <c r="F17" s="166"/>
      <c r="G17" s="414">
        <v>0</v>
      </c>
      <c r="H17" s="415">
        <v>0</v>
      </c>
      <c r="I17" s="415">
        <f t="shared" si="7"/>
        <v>0</v>
      </c>
      <c r="J17" s="196" t="str">
        <f t="shared" si="0"/>
        <v>-</v>
      </c>
      <c r="K17" s="166"/>
      <c r="L17" s="889">
        <v>0</v>
      </c>
      <c r="M17" s="904">
        <v>0</v>
      </c>
      <c r="N17" s="415">
        <f t="shared" si="8"/>
        <v>0</v>
      </c>
      <c r="O17" s="194" t="str">
        <f t="shared" si="1"/>
        <v>-</v>
      </c>
      <c r="P17" s="166"/>
      <c r="Q17" s="417">
        <v>0</v>
      </c>
      <c r="R17" s="567">
        <v>0</v>
      </c>
      <c r="S17" s="415">
        <f t="shared" si="9"/>
        <v>0</v>
      </c>
      <c r="T17" s="194" t="str">
        <f t="shared" si="2"/>
        <v>-</v>
      </c>
      <c r="U17" s="782"/>
      <c r="V17" s="414">
        <f t="shared" si="10"/>
        <v>0</v>
      </c>
      <c r="W17" s="415">
        <f t="shared" si="11"/>
        <v>0</v>
      </c>
      <c r="X17" s="415">
        <f t="shared" si="12"/>
        <v>0</v>
      </c>
      <c r="Y17" s="194" t="str">
        <f t="shared" si="3"/>
        <v>-</v>
      </c>
      <c r="Z17" s="166"/>
      <c r="AA17" s="414">
        <v>0</v>
      </c>
      <c r="AB17" s="415">
        <f t="shared" si="13"/>
        <v>0</v>
      </c>
      <c r="AC17" s="196" t="str">
        <f t="shared" ref="AC17:AC23" si="14">IF(ISERROR(AB17/AA17),"-",AB17/AA17)</f>
        <v>-</v>
      </c>
      <c r="AD17" s="166"/>
      <c r="AE17" s="1178"/>
    </row>
    <row r="18" spans="1:31" x14ac:dyDescent="0.3">
      <c r="A18" s="476" t="s">
        <v>71</v>
      </c>
      <c r="B18" s="397">
        <v>10312.5</v>
      </c>
      <c r="C18" s="416">
        <v>8307.6199999999953</v>
      </c>
      <c r="D18" s="567">
        <f t="shared" si="5"/>
        <v>-2004.8800000000047</v>
      </c>
      <c r="E18" s="196">
        <f>IF(ISERROR(D18/B18),"-",D18/B18)</f>
        <v>-0.19441260606060651</v>
      </c>
      <c r="F18" s="166"/>
      <c r="G18" s="414">
        <v>10312.5</v>
      </c>
      <c r="H18" s="415">
        <v>9489.6699999999983</v>
      </c>
      <c r="I18" s="415">
        <f t="shared" si="7"/>
        <v>-822.83000000000175</v>
      </c>
      <c r="J18" s="196">
        <f t="shared" si="0"/>
        <v>-7.978957575757592E-2</v>
      </c>
      <c r="K18" s="166"/>
      <c r="L18" s="417">
        <v>10312.5</v>
      </c>
      <c r="M18" s="567">
        <v>10972.899999999994</v>
      </c>
      <c r="N18" s="415">
        <f t="shared" si="8"/>
        <v>660.39999999999418</v>
      </c>
      <c r="O18" s="196">
        <f t="shared" si="1"/>
        <v>6.403878787878732E-2</v>
      </c>
      <c r="P18" s="166"/>
      <c r="Q18" s="417">
        <v>10312.5</v>
      </c>
      <c r="R18" s="567">
        <v>24023.850000000035</v>
      </c>
      <c r="S18" s="415">
        <f>R18-Q18</f>
        <v>13711.350000000035</v>
      </c>
      <c r="T18" s="196">
        <f t="shared" si="2"/>
        <v>1.329585454545458</v>
      </c>
      <c r="U18" s="782"/>
      <c r="V18" s="414">
        <f t="shared" si="10"/>
        <v>41250</v>
      </c>
      <c r="W18" s="415">
        <f>C18+H18+M18+R18</f>
        <v>52794.040000000023</v>
      </c>
      <c r="X18" s="415">
        <f t="shared" si="12"/>
        <v>11544.040000000023</v>
      </c>
      <c r="Y18" s="266">
        <f t="shared" si="3"/>
        <v>0.27985551515151569</v>
      </c>
      <c r="Z18" s="166"/>
      <c r="AA18" s="414">
        <v>41250</v>
      </c>
      <c r="AB18" s="415">
        <f>AA18-W18</f>
        <v>-11544.040000000023</v>
      </c>
      <c r="AC18" s="196">
        <f t="shared" si="14"/>
        <v>-0.27985551515151569</v>
      </c>
      <c r="AD18" s="166"/>
      <c r="AE18" s="1178"/>
    </row>
    <row r="19" spans="1:31" x14ac:dyDescent="0.3">
      <c r="A19" s="476" t="s">
        <v>188</v>
      </c>
      <c r="B19" s="397">
        <v>0</v>
      </c>
      <c r="C19" s="416">
        <v>0</v>
      </c>
      <c r="D19" s="567">
        <f t="shared" si="5"/>
        <v>0</v>
      </c>
      <c r="E19" s="196" t="str">
        <f t="shared" si="6"/>
        <v>-</v>
      </c>
      <c r="F19" s="166"/>
      <c r="G19" s="414">
        <v>0</v>
      </c>
      <c r="H19" s="415">
        <v>0</v>
      </c>
      <c r="I19" s="415">
        <f t="shared" si="7"/>
        <v>0</v>
      </c>
      <c r="J19" s="196" t="str">
        <f t="shared" si="0"/>
        <v>-</v>
      </c>
      <c r="K19" s="166"/>
      <c r="L19" s="417">
        <v>0</v>
      </c>
      <c r="M19" s="397">
        <v>0</v>
      </c>
      <c r="N19" s="415">
        <f t="shared" si="8"/>
        <v>0</v>
      </c>
      <c r="O19" s="266" t="str">
        <f t="shared" si="1"/>
        <v>-</v>
      </c>
      <c r="P19" s="166"/>
      <c r="Q19" s="417">
        <v>0</v>
      </c>
      <c r="R19" s="604">
        <v>0</v>
      </c>
      <c r="S19" s="415">
        <f t="shared" si="9"/>
        <v>0</v>
      </c>
      <c r="T19" s="266" t="str">
        <f t="shared" si="2"/>
        <v>-</v>
      </c>
      <c r="U19" s="782"/>
      <c r="V19" s="414">
        <f t="shared" si="10"/>
        <v>0</v>
      </c>
      <c r="W19" s="415">
        <f t="shared" si="11"/>
        <v>0</v>
      </c>
      <c r="X19" s="415">
        <f t="shared" si="12"/>
        <v>0</v>
      </c>
      <c r="Y19" s="266" t="str">
        <f t="shared" si="3"/>
        <v>-</v>
      </c>
      <c r="Z19" s="166"/>
      <c r="AA19" s="414">
        <v>0</v>
      </c>
      <c r="AB19" s="415">
        <f t="shared" si="13"/>
        <v>0</v>
      </c>
      <c r="AC19" s="196" t="str">
        <f t="shared" si="14"/>
        <v>-</v>
      </c>
      <c r="AD19" s="166"/>
      <c r="AE19" s="1178"/>
    </row>
    <row r="20" spans="1:31" x14ac:dyDescent="0.3">
      <c r="A20" s="1466" t="s">
        <v>67</v>
      </c>
      <c r="B20" s="397">
        <v>0</v>
      </c>
      <c r="C20" s="416">
        <v>0</v>
      </c>
      <c r="D20" s="567">
        <f t="shared" si="5"/>
        <v>0</v>
      </c>
      <c r="E20" s="196" t="str">
        <f t="shared" si="6"/>
        <v>-</v>
      </c>
      <c r="F20" s="166"/>
      <c r="G20" s="414">
        <v>0</v>
      </c>
      <c r="H20" s="415">
        <v>0</v>
      </c>
      <c r="I20" s="415">
        <f t="shared" si="7"/>
        <v>0</v>
      </c>
      <c r="J20" s="196" t="str">
        <f t="shared" si="0"/>
        <v>-</v>
      </c>
      <c r="K20" s="166"/>
      <c r="L20" s="417">
        <v>0</v>
      </c>
      <c r="M20" s="417">
        <v>0</v>
      </c>
      <c r="N20" s="415">
        <f t="shared" si="8"/>
        <v>0</v>
      </c>
      <c r="O20" s="266" t="str">
        <f t="shared" si="1"/>
        <v>-</v>
      </c>
      <c r="P20" s="166"/>
      <c r="Q20" s="417">
        <v>0</v>
      </c>
      <c r="R20" s="604">
        <v>0</v>
      </c>
      <c r="S20" s="415">
        <f t="shared" si="9"/>
        <v>0</v>
      </c>
      <c r="T20" s="266" t="str">
        <f t="shared" si="2"/>
        <v>-</v>
      </c>
      <c r="U20" s="782"/>
      <c r="V20" s="414">
        <f t="shared" si="10"/>
        <v>0</v>
      </c>
      <c r="W20" s="415">
        <f t="shared" si="11"/>
        <v>0</v>
      </c>
      <c r="X20" s="415">
        <f t="shared" si="12"/>
        <v>0</v>
      </c>
      <c r="Y20" s="266" t="str">
        <f t="shared" si="3"/>
        <v>-</v>
      </c>
      <c r="Z20" s="166"/>
      <c r="AA20" s="414">
        <v>0</v>
      </c>
      <c r="AB20" s="415">
        <f t="shared" si="13"/>
        <v>0</v>
      </c>
      <c r="AC20" s="196" t="str">
        <f t="shared" si="14"/>
        <v>-</v>
      </c>
      <c r="AD20" s="166"/>
      <c r="AE20" s="1178"/>
    </row>
    <row r="21" spans="1:31" x14ac:dyDescent="0.3">
      <c r="A21" s="1335" t="s">
        <v>112</v>
      </c>
      <c r="B21" s="397">
        <v>0</v>
      </c>
      <c r="C21" s="416">
        <v>0</v>
      </c>
      <c r="D21" s="567">
        <f t="shared" si="5"/>
        <v>0</v>
      </c>
      <c r="E21" s="196" t="str">
        <f t="shared" si="6"/>
        <v>-</v>
      </c>
      <c r="F21" s="166"/>
      <c r="G21" s="414">
        <v>0</v>
      </c>
      <c r="H21" s="415">
        <v>0</v>
      </c>
      <c r="I21" s="415">
        <f t="shared" si="7"/>
        <v>0</v>
      </c>
      <c r="J21" s="196" t="str">
        <f t="shared" si="0"/>
        <v>-</v>
      </c>
      <c r="K21" s="166"/>
      <c r="L21" s="417">
        <v>0</v>
      </c>
      <c r="M21" s="417">
        <v>0</v>
      </c>
      <c r="N21" s="415">
        <f t="shared" si="8"/>
        <v>0</v>
      </c>
      <c r="O21" s="266" t="str">
        <f t="shared" si="1"/>
        <v>-</v>
      </c>
      <c r="P21" s="166"/>
      <c r="Q21" s="417">
        <v>0</v>
      </c>
      <c r="R21" s="604">
        <v>0</v>
      </c>
      <c r="S21" s="415">
        <f t="shared" si="9"/>
        <v>0</v>
      </c>
      <c r="T21" s="266" t="str">
        <f t="shared" si="2"/>
        <v>-</v>
      </c>
      <c r="U21" s="782"/>
      <c r="V21" s="414">
        <f t="shared" si="10"/>
        <v>0</v>
      </c>
      <c r="W21" s="415">
        <f t="shared" si="11"/>
        <v>0</v>
      </c>
      <c r="X21" s="415">
        <f t="shared" si="12"/>
        <v>0</v>
      </c>
      <c r="Y21" s="266" t="str">
        <f t="shared" si="3"/>
        <v>-</v>
      </c>
      <c r="Z21" s="166"/>
      <c r="AA21" s="414">
        <v>0</v>
      </c>
      <c r="AB21" s="415">
        <f t="shared" si="13"/>
        <v>0</v>
      </c>
      <c r="AC21" s="196" t="str">
        <f t="shared" si="14"/>
        <v>-</v>
      </c>
      <c r="AD21" s="166"/>
      <c r="AE21" s="1178"/>
    </row>
    <row r="22" spans="1:31" x14ac:dyDescent="0.3">
      <c r="A22" s="476" t="s">
        <v>70</v>
      </c>
      <c r="B22" s="397">
        <v>0</v>
      </c>
      <c r="C22" s="416">
        <v>0</v>
      </c>
      <c r="D22" s="567">
        <f t="shared" si="5"/>
        <v>0</v>
      </c>
      <c r="E22" s="196" t="str">
        <f t="shared" si="6"/>
        <v>-</v>
      </c>
      <c r="F22" s="166"/>
      <c r="G22" s="414">
        <v>0</v>
      </c>
      <c r="H22" s="415">
        <v>0</v>
      </c>
      <c r="I22" s="415">
        <f t="shared" si="7"/>
        <v>0</v>
      </c>
      <c r="J22" s="196" t="str">
        <f t="shared" si="0"/>
        <v>-</v>
      </c>
      <c r="K22" s="166"/>
      <c r="L22" s="417">
        <v>0</v>
      </c>
      <c r="M22" s="417">
        <v>0</v>
      </c>
      <c r="N22" s="415">
        <f t="shared" si="8"/>
        <v>0</v>
      </c>
      <c r="O22" s="194" t="str">
        <f t="shared" si="1"/>
        <v>-</v>
      </c>
      <c r="P22" s="166"/>
      <c r="Q22" s="417">
        <v>0</v>
      </c>
      <c r="R22" s="604">
        <v>0</v>
      </c>
      <c r="S22" s="415">
        <f t="shared" si="9"/>
        <v>0</v>
      </c>
      <c r="T22" s="194" t="str">
        <f t="shared" si="2"/>
        <v>-</v>
      </c>
      <c r="U22" s="782"/>
      <c r="V22" s="414">
        <f t="shared" si="10"/>
        <v>0</v>
      </c>
      <c r="W22" s="415">
        <f t="shared" si="11"/>
        <v>0</v>
      </c>
      <c r="X22" s="415">
        <f t="shared" si="12"/>
        <v>0</v>
      </c>
      <c r="Y22" s="194" t="str">
        <f t="shared" si="3"/>
        <v>-</v>
      </c>
      <c r="Z22" s="166"/>
      <c r="AA22" s="414">
        <v>0</v>
      </c>
      <c r="AB22" s="415">
        <f t="shared" si="13"/>
        <v>0</v>
      </c>
      <c r="AC22" s="196" t="str">
        <f t="shared" si="14"/>
        <v>-</v>
      </c>
      <c r="AD22" s="166"/>
      <c r="AE22" s="1179"/>
    </row>
    <row r="23" spans="1:31" x14ac:dyDescent="0.3">
      <c r="A23" s="476" t="s">
        <v>72</v>
      </c>
      <c r="B23" s="397">
        <v>0</v>
      </c>
      <c r="C23" s="416">
        <v>0</v>
      </c>
      <c r="D23" s="567">
        <f t="shared" si="5"/>
        <v>0</v>
      </c>
      <c r="E23" s="196" t="str">
        <f t="shared" si="6"/>
        <v>-</v>
      </c>
      <c r="F23" s="166"/>
      <c r="G23" s="414">
        <v>0</v>
      </c>
      <c r="H23" s="415">
        <v>0</v>
      </c>
      <c r="I23" s="415">
        <f t="shared" si="7"/>
        <v>0</v>
      </c>
      <c r="J23" s="196" t="str">
        <f t="shared" si="0"/>
        <v>-</v>
      </c>
      <c r="K23" s="166"/>
      <c r="L23" s="417">
        <v>0</v>
      </c>
      <c r="M23" s="417">
        <v>0</v>
      </c>
      <c r="N23" s="415">
        <f>M24-L24</f>
        <v>120823.87999999989</v>
      </c>
      <c r="O23" s="196">
        <f>IF(ISERROR(N23/L24),"-",N23/L24)</f>
        <v>4.4932260451952366E-2</v>
      </c>
      <c r="P23" s="166"/>
      <c r="Q23" s="417">
        <v>0</v>
      </c>
      <c r="R23" s="604">
        <v>0</v>
      </c>
      <c r="S23" s="415">
        <f t="shared" si="9"/>
        <v>0</v>
      </c>
      <c r="T23" s="196">
        <f>IF(ISERROR(S23/Q24),"-",S23/Q24)</f>
        <v>0</v>
      </c>
      <c r="U23" s="782"/>
      <c r="V23" s="414">
        <f>B23+G23+L23+Q23</f>
        <v>0</v>
      </c>
      <c r="W23" s="415">
        <f t="shared" si="11"/>
        <v>0</v>
      </c>
      <c r="X23" s="415">
        <f t="shared" si="12"/>
        <v>0</v>
      </c>
      <c r="Y23" s="196" t="str">
        <f t="shared" si="3"/>
        <v>-</v>
      </c>
      <c r="Z23" s="166"/>
      <c r="AA23" s="414">
        <v>0</v>
      </c>
      <c r="AB23" s="415">
        <f>AA23-W23</f>
        <v>0</v>
      </c>
      <c r="AC23" s="196" t="str">
        <f t="shared" si="14"/>
        <v>-</v>
      </c>
      <c r="AD23" s="166"/>
      <c r="AE23" s="1178"/>
    </row>
    <row r="24" spans="1:31" x14ac:dyDescent="0.3">
      <c r="A24" s="476" t="s">
        <v>131</v>
      </c>
      <c r="B24" s="397">
        <v>2689022.96</v>
      </c>
      <c r="C24" s="416">
        <v>2791030.03</v>
      </c>
      <c r="D24" s="567">
        <f>C24-B24</f>
        <v>102007.06999999983</v>
      </c>
      <c r="E24" s="196">
        <f t="shared" si="6"/>
        <v>3.7934622172210768E-2</v>
      </c>
      <c r="F24" s="166"/>
      <c r="G24" s="414">
        <v>2689022.96</v>
      </c>
      <c r="H24" s="415">
        <v>2776934.62</v>
      </c>
      <c r="I24" s="415">
        <f>H24-G24</f>
        <v>87911.660000000149</v>
      </c>
      <c r="J24" s="196">
        <f t="shared" si="0"/>
        <v>3.2692788907983196E-2</v>
      </c>
      <c r="K24" s="166"/>
      <c r="L24" s="998">
        <v>2689022.96</v>
      </c>
      <c r="M24" s="578">
        <v>2809846.84</v>
      </c>
      <c r="N24" s="415">
        <f>L24-M24</f>
        <v>-120823.87999999989</v>
      </c>
      <c r="O24" s="196">
        <f>IF(ISERROR(N24/L25),"-",N24/L25)</f>
        <v>-4.192535268693777E-2</v>
      </c>
      <c r="P24" s="166"/>
      <c r="Q24" s="889">
        <v>2689022.96</v>
      </c>
      <c r="R24" s="907">
        <v>2892943.15</v>
      </c>
      <c r="S24" s="415">
        <f t="shared" si="9"/>
        <v>203920.18999999994</v>
      </c>
      <c r="T24" s="196">
        <f>IF(ISERROR(S24/Q25),"-",S24/Q25)</f>
        <v>7.0759405224673846E-2</v>
      </c>
      <c r="U24" s="782"/>
      <c r="V24" s="414">
        <f t="shared" si="10"/>
        <v>10756091.84</v>
      </c>
      <c r="W24" s="415">
        <f t="shared" si="11"/>
        <v>11270754.640000001</v>
      </c>
      <c r="X24" s="415">
        <f t="shared" si="12"/>
        <v>514662.80000000075</v>
      </c>
      <c r="Y24" s="196">
        <f t="shared" si="3"/>
        <v>4.7848494383997443E-2</v>
      </c>
      <c r="Z24" s="166"/>
      <c r="AA24" s="414">
        <v>10756091.84</v>
      </c>
      <c r="AB24" s="415">
        <f>AA24-W24</f>
        <v>-514662.80000000075</v>
      </c>
      <c r="AC24" s="196">
        <f>IF(ISERROR(AB24/AA24),"-",AB24/AA24)</f>
        <v>-4.7848494383997443E-2</v>
      </c>
      <c r="AD24" s="178"/>
      <c r="AE24" s="1181"/>
    </row>
    <row r="25" spans="1:31" x14ac:dyDescent="0.3">
      <c r="A25" s="477" t="s">
        <v>73</v>
      </c>
      <c r="B25" s="1063">
        <f>SUM(B14:B24)</f>
        <v>2881881.0637612999</v>
      </c>
      <c r="C25" s="1232">
        <f>SUM(C14:C24)</f>
        <v>2927463.3</v>
      </c>
      <c r="D25" s="565">
        <f>SUM(D14:D24)</f>
        <v>45582.236238699712</v>
      </c>
      <c r="E25" s="211">
        <f>IF(ISERROR(D25/B25),"-",D25/B25)</f>
        <v>1.5816834640360853E-2</v>
      </c>
      <c r="F25" s="178"/>
      <c r="G25" s="432">
        <f>SUM(G14:G24)</f>
        <v>2881881.0637612999</v>
      </c>
      <c r="H25" s="433">
        <f>SUM(H14:H24)</f>
        <v>2906687.72</v>
      </c>
      <c r="I25" s="433">
        <f>SUM(I14:I24)</f>
        <v>24806.65623870003</v>
      </c>
      <c r="J25" s="211">
        <f>IF(ISERROR(I25/G25),"-",I25/G25)</f>
        <v>8.6078001450634167E-3</v>
      </c>
      <c r="K25" s="178"/>
      <c r="L25" s="432">
        <f>SUM(L14:L24)</f>
        <v>2881881.0637612999</v>
      </c>
      <c r="M25" s="433">
        <f>SUM(M14:M24)</f>
        <v>2940996.1799999997</v>
      </c>
      <c r="N25" s="433">
        <f>SUM(N14:N23)</f>
        <v>59115.11623869976</v>
      </c>
      <c r="O25" s="211">
        <f t="shared" si="1"/>
        <v>2.0512684226303705E-2</v>
      </c>
      <c r="P25" s="178"/>
      <c r="Q25" s="432">
        <f>SUM(Q14:Q24)</f>
        <v>2881881.0637612999</v>
      </c>
      <c r="R25" s="433">
        <f>SUM(R14:R24)</f>
        <v>3235890.92</v>
      </c>
      <c r="S25" s="433">
        <f>SUM(S14:S24)</f>
        <v>354009.85623869987</v>
      </c>
      <c r="T25" s="478">
        <f>IF(ISERROR(S25/Q25),"-",S25/Q25)</f>
        <v>0.12283985647091984</v>
      </c>
      <c r="U25" s="784"/>
      <c r="V25" s="432">
        <f>SUM(V14:V24)</f>
        <v>11527524.2550452</v>
      </c>
      <c r="W25" s="433">
        <f>SUM(W14:W24)</f>
        <v>12011038.120000001</v>
      </c>
      <c r="X25" s="433">
        <f>SUM(X14:X24)</f>
        <v>483513.86495480023</v>
      </c>
      <c r="Y25" s="478">
        <f>IF(ISERROR(X25/V25),"-",X25/V25)</f>
        <v>4.1944293870662029E-2</v>
      </c>
      <c r="Z25" s="178"/>
      <c r="AA25" s="434">
        <f>SUM(AA14:AA24)</f>
        <v>11407524.2550452</v>
      </c>
      <c r="AB25" s="435">
        <f>SUM(AB14:AB24)</f>
        <v>-603513.86495480023</v>
      </c>
      <c r="AC25" s="479">
        <f>IF(ISERROR(AB25/AA25),"-",AB25/AA25)</f>
        <v>-5.2904894301485657E-2</v>
      </c>
      <c r="AD25" s="166"/>
      <c r="AE25" s="1178"/>
    </row>
    <row r="26" spans="1:31" x14ac:dyDescent="0.3">
      <c r="A26" s="480"/>
      <c r="B26" s="1412"/>
      <c r="C26" s="1389"/>
      <c r="D26" s="566"/>
      <c r="E26" s="481"/>
      <c r="F26" s="166"/>
      <c r="G26" s="424"/>
      <c r="H26" s="425"/>
      <c r="I26" s="425"/>
      <c r="J26" s="190"/>
      <c r="K26" s="166"/>
      <c r="L26" s="422"/>
      <c r="M26" s="423"/>
      <c r="N26" s="423"/>
      <c r="O26" s="481"/>
      <c r="P26" s="166"/>
      <c r="Q26" s="424"/>
      <c r="R26" s="425"/>
      <c r="S26" s="425"/>
      <c r="T26" s="482" t="str">
        <f t="shared" si="2"/>
        <v>-</v>
      </c>
      <c r="U26" s="782"/>
      <c r="V26" s="422"/>
      <c r="W26" s="423"/>
      <c r="X26" s="423"/>
      <c r="Y26" s="481"/>
      <c r="Z26" s="166"/>
      <c r="AA26" s="422"/>
      <c r="AB26" s="423"/>
      <c r="AC26" s="481"/>
      <c r="AD26" s="166"/>
      <c r="AE26" s="1178"/>
    </row>
    <row r="27" spans="1:31" x14ac:dyDescent="0.3">
      <c r="A27" s="483" t="s">
        <v>74</v>
      </c>
      <c r="B27" s="397">
        <v>0</v>
      </c>
      <c r="C27" s="416">
        <v>0</v>
      </c>
      <c r="D27" s="567">
        <f>C27-B27</f>
        <v>0</v>
      </c>
      <c r="E27" s="266" t="str">
        <f>IF(ISERROR(D27/B27),"-",D27/B27)</f>
        <v>-</v>
      </c>
      <c r="F27" s="166"/>
      <c r="G27" s="426">
        <v>0</v>
      </c>
      <c r="H27" s="427">
        <v>0</v>
      </c>
      <c r="I27" s="415">
        <f>H27-G27</f>
        <v>0</v>
      </c>
      <c r="J27" s="267" t="str">
        <f>IF(ISERROR(I27/G27),"-",I27/G27)</f>
        <v>-</v>
      </c>
      <c r="K27" s="166"/>
      <c r="L27" s="414">
        <v>0</v>
      </c>
      <c r="M27" s="415">
        <v>0</v>
      </c>
      <c r="N27" s="415">
        <f>M27-L27</f>
        <v>0</v>
      </c>
      <c r="O27" s="266" t="str">
        <f>IF(ISERROR(N27/L27),"-",N27/L27)</f>
        <v>-</v>
      </c>
      <c r="P27" s="166"/>
      <c r="Q27" s="426">
        <v>0</v>
      </c>
      <c r="R27" s="427">
        <v>0</v>
      </c>
      <c r="S27" s="415">
        <f>R27-Q27</f>
        <v>0</v>
      </c>
      <c r="T27" s="267" t="str">
        <f t="shared" si="2"/>
        <v>-</v>
      </c>
      <c r="U27" s="782"/>
      <c r="V27" s="414">
        <v>0</v>
      </c>
      <c r="W27" s="415">
        <f>C27+H27+M27+R27</f>
        <v>0</v>
      </c>
      <c r="X27" s="415">
        <f>W27-V27</f>
        <v>0</v>
      </c>
      <c r="Y27" s="484"/>
      <c r="Z27" s="166"/>
      <c r="AA27" s="414">
        <v>0</v>
      </c>
      <c r="AB27" s="415">
        <f>AA27-W27</f>
        <v>0</v>
      </c>
      <c r="AC27" s="484" t="str">
        <f>IF(ISERROR(AB27/AA27),"-",AB27/AA27)</f>
        <v>-</v>
      </c>
      <c r="AD27" s="160"/>
      <c r="AE27" s="1178"/>
    </row>
    <row r="28" spans="1:31" x14ac:dyDescent="0.3">
      <c r="A28" s="485"/>
      <c r="B28" s="1411"/>
      <c r="C28" s="1388"/>
      <c r="D28" s="568"/>
      <c r="E28" s="486"/>
      <c r="F28" s="160"/>
      <c r="G28" s="430"/>
      <c r="H28" s="431"/>
      <c r="I28" s="431"/>
      <c r="J28" s="206"/>
      <c r="K28" s="160"/>
      <c r="L28" s="428"/>
      <c r="M28" s="429"/>
      <c r="N28" s="429"/>
      <c r="O28" s="486"/>
      <c r="P28" s="160"/>
      <c r="Q28" s="430"/>
      <c r="R28" s="431"/>
      <c r="S28" s="431"/>
      <c r="T28" s="487" t="str">
        <f t="shared" si="2"/>
        <v>-</v>
      </c>
      <c r="U28" s="781"/>
      <c r="V28" s="428"/>
      <c r="W28" s="429"/>
      <c r="X28" s="429"/>
      <c r="Y28" s="486"/>
      <c r="Z28" s="160"/>
      <c r="AA28" s="428"/>
      <c r="AB28" s="429"/>
      <c r="AC28" s="486"/>
      <c r="AD28" s="178"/>
      <c r="AE28" s="1181"/>
    </row>
    <row r="29" spans="1:31" x14ac:dyDescent="0.3">
      <c r="A29" s="477" t="s">
        <v>75</v>
      </c>
      <c r="B29" s="1063">
        <f>B25+B27</f>
        <v>2881881.0637612999</v>
      </c>
      <c r="C29" s="1232">
        <f>C25+C27</f>
        <v>2927463.3</v>
      </c>
      <c r="D29" s="565">
        <f>D25+D27</f>
        <v>45582.236238699712</v>
      </c>
      <c r="E29" s="211">
        <f>IF(ISERROR(D29/B29),"-",D29/B29)</f>
        <v>1.5816834640360853E-2</v>
      </c>
      <c r="F29" s="178"/>
      <c r="G29" s="432">
        <f>G25+G27</f>
        <v>2881881.0637612999</v>
      </c>
      <c r="H29" s="433">
        <f>H25+H27</f>
        <v>2906687.72</v>
      </c>
      <c r="I29" s="433">
        <f>I25+I27</f>
        <v>24806.65623870003</v>
      </c>
      <c r="J29" s="211">
        <f>IF(ISERROR(I29/G29),"-",I29/G29)</f>
        <v>8.6078001450634167E-3</v>
      </c>
      <c r="K29" s="178"/>
      <c r="L29" s="432">
        <f>L25+L27</f>
        <v>2881881.0637612999</v>
      </c>
      <c r="M29" s="433">
        <f>M25+M27</f>
        <v>2940996.1799999997</v>
      </c>
      <c r="N29" s="433">
        <f>N25+N27</f>
        <v>59115.11623869976</v>
      </c>
      <c r="O29" s="211">
        <f>IF(ISERROR(N29/L29),"-",N29/L29)</f>
        <v>2.0512684226303705E-2</v>
      </c>
      <c r="P29" s="178"/>
      <c r="Q29" s="432">
        <f>Q25+Q27</f>
        <v>2881881.0637612999</v>
      </c>
      <c r="R29" s="433">
        <f>R25+R27</f>
        <v>3235890.92</v>
      </c>
      <c r="S29" s="433">
        <f>S25+S27</f>
        <v>354009.85623869987</v>
      </c>
      <c r="T29" s="211">
        <f t="shared" si="2"/>
        <v>0.12283985647091984</v>
      </c>
      <c r="U29" s="784"/>
      <c r="V29" s="432">
        <f>V25+V27</f>
        <v>11527524.2550452</v>
      </c>
      <c r="W29" s="433">
        <f>W25+W27</f>
        <v>12011038.120000001</v>
      </c>
      <c r="X29" s="433">
        <f>X25+X27</f>
        <v>483513.86495480023</v>
      </c>
      <c r="Y29" s="211">
        <f>IF(ISERROR(X29/V29),"-",X29/V29)</f>
        <v>4.1944293870662029E-2</v>
      </c>
      <c r="Z29" s="178"/>
      <c r="AA29" s="434">
        <f>AA25+AA27</f>
        <v>11407524.2550452</v>
      </c>
      <c r="AB29" s="435">
        <f>AA29-W29</f>
        <v>-603513.86495480128</v>
      </c>
      <c r="AC29" s="479">
        <f>IF(ISERROR(AB29/AA29),"-",AB29/AA29)</f>
        <v>-5.2904894301485754E-2</v>
      </c>
      <c r="AD29" s="160"/>
      <c r="AE29" s="1178"/>
    </row>
    <row r="30" spans="1:31" x14ac:dyDescent="0.3">
      <c r="A30" s="488"/>
      <c r="B30" s="787"/>
      <c r="C30" s="575"/>
      <c r="D30" s="569"/>
      <c r="E30" s="475"/>
      <c r="F30" s="160"/>
      <c r="G30" s="438"/>
      <c r="H30" s="439"/>
      <c r="I30" s="439"/>
      <c r="J30" s="489"/>
      <c r="K30" s="160"/>
      <c r="L30" s="436"/>
      <c r="M30" s="437"/>
      <c r="N30" s="437"/>
      <c r="O30" s="475"/>
      <c r="P30" s="160"/>
      <c r="Q30" s="438"/>
      <c r="R30" s="439"/>
      <c r="S30" s="439"/>
      <c r="T30" s="489"/>
      <c r="U30" s="781"/>
      <c r="V30" s="422"/>
      <c r="W30" s="423"/>
      <c r="X30" s="437"/>
      <c r="Y30" s="475"/>
      <c r="Z30" s="160"/>
      <c r="AA30" s="422"/>
      <c r="AB30" s="437"/>
      <c r="AC30" s="475"/>
      <c r="AD30" s="166"/>
      <c r="AE30" s="1178"/>
    </row>
    <row r="31" spans="1:31" x14ac:dyDescent="0.3">
      <c r="A31" s="483" t="s">
        <v>76</v>
      </c>
      <c r="B31" s="397"/>
      <c r="C31" s="416"/>
      <c r="D31" s="567"/>
      <c r="E31" s="484"/>
      <c r="F31" s="166"/>
      <c r="G31" s="426"/>
      <c r="H31" s="427"/>
      <c r="I31" s="427"/>
      <c r="J31" s="490"/>
      <c r="K31" s="166"/>
      <c r="L31" s="414"/>
      <c r="M31" s="603"/>
      <c r="N31" s="567"/>
      <c r="O31" s="484"/>
      <c r="P31" s="166"/>
      <c r="Q31" s="426"/>
      <c r="R31" s="427"/>
      <c r="S31" s="427"/>
      <c r="T31" s="490"/>
      <c r="U31" s="782"/>
      <c r="V31" s="414"/>
      <c r="W31" s="415"/>
      <c r="X31" s="415"/>
      <c r="Y31" s="484"/>
      <c r="Z31" s="166"/>
      <c r="AA31" s="414"/>
      <c r="AB31" s="415"/>
      <c r="AC31" s="484"/>
      <c r="AD31" s="166"/>
      <c r="AE31" s="1178"/>
    </row>
    <row r="32" spans="1:31" x14ac:dyDescent="0.3">
      <c r="A32" s="483" t="s">
        <v>77</v>
      </c>
      <c r="B32" s="397"/>
      <c r="C32" s="416"/>
      <c r="D32" s="567"/>
      <c r="E32" s="484"/>
      <c r="F32" s="166"/>
      <c r="G32" s="426"/>
      <c r="H32" s="427"/>
      <c r="I32" s="427"/>
      <c r="J32" s="490"/>
      <c r="K32" s="166"/>
      <c r="L32" s="417"/>
      <c r="M32" s="604"/>
      <c r="N32" s="567"/>
      <c r="O32" s="484"/>
      <c r="P32" s="166"/>
      <c r="Q32" s="426"/>
      <c r="R32" s="427"/>
      <c r="S32" s="427"/>
      <c r="T32" s="490"/>
      <c r="U32" s="782"/>
      <c r="V32" s="414"/>
      <c r="W32" s="415"/>
      <c r="X32" s="415"/>
      <c r="Y32" s="484"/>
      <c r="Z32" s="166"/>
      <c r="AA32" s="414"/>
      <c r="AB32" s="415"/>
      <c r="AC32" s="484"/>
      <c r="AD32" s="171"/>
      <c r="AE32" s="1179"/>
    </row>
    <row r="33" spans="1:31" x14ac:dyDescent="0.3">
      <c r="A33" s="476" t="s">
        <v>78</v>
      </c>
      <c r="B33" s="397">
        <v>122058</v>
      </c>
      <c r="C33" s="416">
        <v>120715.76000000001</v>
      </c>
      <c r="D33" s="567">
        <f t="shared" ref="D33:D40" si="15">C33-B33</f>
        <v>-1342.2399999999907</v>
      </c>
      <c r="E33" s="196">
        <f t="shared" ref="E33:E41" si="16">IF(ISERROR(D33/B33),"-",D33/B33)</f>
        <v>-1.0996739255108152E-2</v>
      </c>
      <c r="F33" s="171"/>
      <c r="G33" s="414">
        <v>122058</v>
      </c>
      <c r="H33" s="415">
        <v>87791.099999999991</v>
      </c>
      <c r="I33" s="415">
        <f t="shared" ref="I33:I40" si="17">H33-G33</f>
        <v>-34266.900000000009</v>
      </c>
      <c r="J33" s="197">
        <f t="shared" ref="J33:J41" si="18">IF(ISERROR(I33/G33),"-",I33/G33)</f>
        <v>-0.2807427616379099</v>
      </c>
      <c r="K33" s="171"/>
      <c r="L33" s="567">
        <v>122058</v>
      </c>
      <c r="M33" s="415">
        <v>123496.9</v>
      </c>
      <c r="N33" s="567">
        <f t="shared" ref="N33:N40" si="19">M33-L33</f>
        <v>1438.8999999999942</v>
      </c>
      <c r="O33" s="194">
        <f t="shared" ref="O33:O41" si="20">IF(ISERROR(N33/L33),"-",N33/L33)</f>
        <v>1.1788657851185455E-2</v>
      </c>
      <c r="P33" s="171"/>
      <c r="Q33" s="602">
        <v>122058</v>
      </c>
      <c r="R33" s="427">
        <v>134529.83000000002</v>
      </c>
      <c r="S33" s="415">
        <f t="shared" ref="S33:S40" si="21">R33-Q33</f>
        <v>12471.830000000016</v>
      </c>
      <c r="T33" s="195">
        <f t="shared" ref="T33:T41" si="22">IF(ISERROR(S33/Q33),"-",S33/Q33)</f>
        <v>0.10217953759688031</v>
      </c>
      <c r="U33" s="783"/>
      <c r="V33" s="414">
        <f>B33+G33+L33+Q33</f>
        <v>488232</v>
      </c>
      <c r="W33" s="415">
        <f t="shared" ref="W33:W40" si="23">C33+H33+M33+R33</f>
        <v>466533.59</v>
      </c>
      <c r="X33" s="415">
        <f t="shared" ref="X33:X39" si="24">W33-V33</f>
        <v>-21698.409999999974</v>
      </c>
      <c r="Y33" s="194">
        <f t="shared" ref="Y33:Y41" si="25">IF(ISERROR(X33/V33),"-",X33/V33)</f>
        <v>-4.4442826361238044E-2</v>
      </c>
      <c r="Z33" s="171"/>
      <c r="AA33" s="414">
        <v>488232</v>
      </c>
      <c r="AB33" s="415">
        <f>AA33-W33</f>
        <v>21698.409999999974</v>
      </c>
      <c r="AC33" s="196">
        <f t="shared" ref="AC33:AC41" si="26">IF(ISERROR(AB33/AA33),"-",AB33/AA33)</f>
        <v>4.4442826361238044E-2</v>
      </c>
      <c r="AD33" s="171"/>
      <c r="AE33" s="1179"/>
    </row>
    <row r="34" spans="1:31" x14ac:dyDescent="0.3">
      <c r="A34" s="476" t="s">
        <v>79</v>
      </c>
      <c r="B34" s="397">
        <v>2325</v>
      </c>
      <c r="C34" s="416">
        <v>1050</v>
      </c>
      <c r="D34" s="567">
        <f t="shared" si="15"/>
        <v>-1275</v>
      </c>
      <c r="E34" s="196">
        <f t="shared" si="16"/>
        <v>-0.54838709677419351</v>
      </c>
      <c r="F34" s="171"/>
      <c r="G34" s="414">
        <v>2325</v>
      </c>
      <c r="H34" s="415">
        <v>700</v>
      </c>
      <c r="I34" s="415">
        <f t="shared" si="17"/>
        <v>-1625</v>
      </c>
      <c r="J34" s="197">
        <f t="shared" si="18"/>
        <v>-0.69892473118279574</v>
      </c>
      <c r="K34" s="171"/>
      <c r="L34" s="567">
        <v>2325</v>
      </c>
      <c r="M34" s="415">
        <v>1050</v>
      </c>
      <c r="N34" s="567">
        <f t="shared" si="19"/>
        <v>-1275</v>
      </c>
      <c r="O34" s="194">
        <f t="shared" si="20"/>
        <v>-0.54838709677419351</v>
      </c>
      <c r="P34" s="171"/>
      <c r="Q34" s="602">
        <v>2325</v>
      </c>
      <c r="R34" s="427">
        <v>1050</v>
      </c>
      <c r="S34" s="415">
        <f t="shared" si="21"/>
        <v>-1275</v>
      </c>
      <c r="T34" s="195">
        <f t="shared" si="22"/>
        <v>-0.54838709677419351</v>
      </c>
      <c r="U34" s="783"/>
      <c r="V34" s="414">
        <f t="shared" ref="V34:V38" si="27">B34+G34+L34+Q34</f>
        <v>9300</v>
      </c>
      <c r="W34" s="415">
        <f t="shared" si="23"/>
        <v>3850</v>
      </c>
      <c r="X34" s="415">
        <f>W34-V34</f>
        <v>-5450</v>
      </c>
      <c r="Y34" s="194">
        <f t="shared" si="25"/>
        <v>-0.58602150537634412</v>
      </c>
      <c r="Z34" s="171"/>
      <c r="AA34" s="414">
        <v>4200</v>
      </c>
      <c r="AB34" s="415">
        <f t="shared" ref="AB34:AB40" si="28">AA34-W34</f>
        <v>350</v>
      </c>
      <c r="AC34" s="196">
        <f t="shared" si="26"/>
        <v>8.3333333333333329E-2</v>
      </c>
      <c r="AD34" s="171"/>
      <c r="AE34" s="1179"/>
    </row>
    <row r="35" spans="1:31" x14ac:dyDescent="0.3">
      <c r="A35" s="476" t="s">
        <v>81</v>
      </c>
      <c r="B35" s="397">
        <v>7422.12</v>
      </c>
      <c r="C35" s="416">
        <v>0</v>
      </c>
      <c r="D35" s="567">
        <f t="shared" si="15"/>
        <v>-7422.12</v>
      </c>
      <c r="E35" s="196">
        <f t="shared" si="16"/>
        <v>-1</v>
      </c>
      <c r="F35" s="171"/>
      <c r="G35" s="414">
        <v>7422.12</v>
      </c>
      <c r="H35" s="415">
        <v>0</v>
      </c>
      <c r="I35" s="415">
        <f t="shared" si="17"/>
        <v>-7422.12</v>
      </c>
      <c r="J35" s="197">
        <f t="shared" si="18"/>
        <v>-1</v>
      </c>
      <c r="K35" s="171"/>
      <c r="L35" s="567">
        <v>7422.12</v>
      </c>
      <c r="M35" s="415">
        <v>19529.28</v>
      </c>
      <c r="N35" s="567">
        <f t="shared" si="19"/>
        <v>12107.16</v>
      </c>
      <c r="O35" s="194">
        <f t="shared" si="20"/>
        <v>1.6312266576126497</v>
      </c>
      <c r="P35" s="171"/>
      <c r="Q35" s="602">
        <v>7422.12</v>
      </c>
      <c r="R35" s="427">
        <v>9765</v>
      </c>
      <c r="S35" s="415">
        <f t="shared" si="21"/>
        <v>2342.88</v>
      </c>
      <c r="T35" s="195">
        <f t="shared" si="22"/>
        <v>0.31566183246835139</v>
      </c>
      <c r="U35" s="783"/>
      <c r="V35" s="414">
        <f t="shared" si="27"/>
        <v>29688.48</v>
      </c>
      <c r="W35" s="415">
        <f t="shared" si="23"/>
        <v>29294.28</v>
      </c>
      <c r="X35" s="415">
        <f t="shared" si="24"/>
        <v>-394.20000000000073</v>
      </c>
      <c r="Y35" s="194">
        <f t="shared" si="25"/>
        <v>-1.3277877479749746E-2</v>
      </c>
      <c r="Z35" s="171"/>
      <c r="AA35" s="414">
        <v>29688.48</v>
      </c>
      <c r="AB35" s="415">
        <f t="shared" si="28"/>
        <v>394.20000000000073</v>
      </c>
      <c r="AC35" s="196">
        <f t="shared" si="26"/>
        <v>1.3277877479749746E-2</v>
      </c>
      <c r="AD35" s="230"/>
      <c r="AE35" s="1178"/>
    </row>
    <row r="36" spans="1:31" x14ac:dyDescent="0.3">
      <c r="A36" s="476" t="s">
        <v>106</v>
      </c>
      <c r="B36" s="397">
        <v>4682.6850000000004</v>
      </c>
      <c r="C36" s="416">
        <v>4966.4399999999996</v>
      </c>
      <c r="D36" s="567">
        <f t="shared" si="15"/>
        <v>283.7549999999992</v>
      </c>
      <c r="E36" s="196">
        <f t="shared" si="16"/>
        <v>6.0596644873613999E-2</v>
      </c>
      <c r="F36" s="230"/>
      <c r="G36" s="414">
        <v>4682.6850000000004</v>
      </c>
      <c r="H36" s="415">
        <v>4510.6899999999996</v>
      </c>
      <c r="I36" s="415">
        <f t="shared" si="17"/>
        <v>-171.9950000000008</v>
      </c>
      <c r="J36" s="197">
        <f t="shared" si="18"/>
        <v>-3.672999571826864E-2</v>
      </c>
      <c r="K36" s="230"/>
      <c r="L36" s="567">
        <v>4682.6850000000004</v>
      </c>
      <c r="M36" s="415">
        <v>5026.5600000000004</v>
      </c>
      <c r="N36" s="567">
        <f t="shared" si="19"/>
        <v>343.875</v>
      </c>
      <c r="O36" s="196">
        <f t="shared" si="20"/>
        <v>7.3435432876650886E-2</v>
      </c>
      <c r="P36" s="230"/>
      <c r="Q36" s="602">
        <v>4682.6850000000004</v>
      </c>
      <c r="R36" s="427">
        <v>5026.5600000000004</v>
      </c>
      <c r="S36" s="415">
        <f t="shared" si="21"/>
        <v>343.875</v>
      </c>
      <c r="T36" s="197">
        <f t="shared" si="22"/>
        <v>7.3435432876650886E-2</v>
      </c>
      <c r="U36" s="785"/>
      <c r="V36" s="414">
        <f t="shared" si="27"/>
        <v>18730.740000000002</v>
      </c>
      <c r="W36" s="415">
        <f t="shared" si="23"/>
        <v>19530.25</v>
      </c>
      <c r="X36" s="415">
        <f t="shared" si="24"/>
        <v>799.5099999999984</v>
      </c>
      <c r="Y36" s="266">
        <f t="shared" si="25"/>
        <v>4.2684378727161784E-2</v>
      </c>
      <c r="Z36" s="230"/>
      <c r="AA36" s="414">
        <v>18730.740000000002</v>
      </c>
      <c r="AB36" s="415">
        <f t="shared" si="28"/>
        <v>-799.5099999999984</v>
      </c>
      <c r="AC36" s="196">
        <f t="shared" si="26"/>
        <v>-4.2684378727161784E-2</v>
      </c>
      <c r="AD36" s="230"/>
      <c r="AE36" s="1178"/>
    </row>
    <row r="37" spans="1:31" x14ac:dyDescent="0.3">
      <c r="A37" s="476" t="s">
        <v>80</v>
      </c>
      <c r="B37" s="397">
        <v>0</v>
      </c>
      <c r="C37" s="416">
        <v>0</v>
      </c>
      <c r="D37" s="567">
        <f t="shared" si="15"/>
        <v>0</v>
      </c>
      <c r="E37" s="196" t="str">
        <f t="shared" si="16"/>
        <v>-</v>
      </c>
      <c r="F37" s="230"/>
      <c r="G37" s="414">
        <v>0</v>
      </c>
      <c r="H37" s="415">
        <v>0</v>
      </c>
      <c r="I37" s="415">
        <f t="shared" si="17"/>
        <v>0</v>
      </c>
      <c r="J37" s="197" t="str">
        <f t="shared" si="18"/>
        <v>-</v>
      </c>
      <c r="K37" s="230"/>
      <c r="L37" s="567">
        <v>0</v>
      </c>
      <c r="M37" s="415">
        <v>1687.9</v>
      </c>
      <c r="N37" s="567">
        <f t="shared" si="19"/>
        <v>1687.9</v>
      </c>
      <c r="O37" s="266" t="str">
        <f t="shared" si="20"/>
        <v>-</v>
      </c>
      <c r="P37" s="230"/>
      <c r="Q37" s="602">
        <v>0</v>
      </c>
      <c r="R37" s="427">
        <v>0</v>
      </c>
      <c r="S37" s="415">
        <f t="shared" si="21"/>
        <v>0</v>
      </c>
      <c r="T37" s="267" t="str">
        <f t="shared" si="22"/>
        <v>-</v>
      </c>
      <c r="U37" s="785"/>
      <c r="V37" s="414">
        <f t="shared" si="27"/>
        <v>0</v>
      </c>
      <c r="W37" s="415">
        <f t="shared" si="23"/>
        <v>1687.9</v>
      </c>
      <c r="X37" s="415">
        <f t="shared" si="24"/>
        <v>1687.9</v>
      </c>
      <c r="Y37" s="266" t="str">
        <f t="shared" si="25"/>
        <v>-</v>
      </c>
      <c r="Z37" s="230"/>
      <c r="AA37" s="414">
        <v>0</v>
      </c>
      <c r="AB37" s="415">
        <f t="shared" si="28"/>
        <v>-1687.9</v>
      </c>
      <c r="AC37" s="196" t="str">
        <f t="shared" si="26"/>
        <v>-</v>
      </c>
      <c r="AD37" s="171"/>
      <c r="AE37" s="1179"/>
    </row>
    <row r="38" spans="1:31" x14ac:dyDescent="0.3">
      <c r="A38" s="476" t="s">
        <v>130</v>
      </c>
      <c r="B38" s="397">
        <v>6660</v>
      </c>
      <c r="C38" s="416">
        <v>6660</v>
      </c>
      <c r="D38" s="567">
        <f t="shared" si="15"/>
        <v>0</v>
      </c>
      <c r="E38" s="196">
        <f t="shared" si="16"/>
        <v>0</v>
      </c>
      <c r="F38" s="171"/>
      <c r="G38" s="414">
        <v>6660</v>
      </c>
      <c r="H38" s="415">
        <v>5772</v>
      </c>
      <c r="I38" s="415">
        <f t="shared" si="17"/>
        <v>-888</v>
      </c>
      <c r="J38" s="197">
        <f t="shared" si="18"/>
        <v>-0.13333333333333333</v>
      </c>
      <c r="K38" s="171"/>
      <c r="L38" s="567">
        <v>6660</v>
      </c>
      <c r="M38" s="415">
        <v>6660</v>
      </c>
      <c r="N38" s="567">
        <f t="shared" si="19"/>
        <v>0</v>
      </c>
      <c r="O38" s="194">
        <f t="shared" si="20"/>
        <v>0</v>
      </c>
      <c r="P38" s="171"/>
      <c r="Q38" s="602">
        <v>6660</v>
      </c>
      <c r="R38" s="427">
        <v>6660</v>
      </c>
      <c r="S38" s="415">
        <f t="shared" si="21"/>
        <v>0</v>
      </c>
      <c r="T38" s="195">
        <f t="shared" si="22"/>
        <v>0</v>
      </c>
      <c r="U38" s="783"/>
      <c r="V38" s="414">
        <f t="shared" si="27"/>
        <v>26640</v>
      </c>
      <c r="W38" s="415">
        <f t="shared" si="23"/>
        <v>25752</v>
      </c>
      <c r="X38" s="415">
        <f t="shared" si="24"/>
        <v>-888</v>
      </c>
      <c r="Y38" s="194">
        <f t="shared" si="25"/>
        <v>-3.3333333333333333E-2</v>
      </c>
      <c r="Z38" s="171"/>
      <c r="AA38" s="414">
        <v>26640</v>
      </c>
      <c r="AB38" s="415">
        <f t="shared" si="28"/>
        <v>888</v>
      </c>
      <c r="AC38" s="196">
        <f t="shared" si="26"/>
        <v>3.3333333333333333E-2</v>
      </c>
      <c r="AD38" s="171"/>
      <c r="AE38" s="1179"/>
    </row>
    <row r="39" spans="1:31" x14ac:dyDescent="0.3">
      <c r="A39" s="476" t="s">
        <v>129</v>
      </c>
      <c r="B39" s="397">
        <v>7000</v>
      </c>
      <c r="C39" s="416">
        <v>0</v>
      </c>
      <c r="D39" s="567">
        <f t="shared" si="15"/>
        <v>-7000</v>
      </c>
      <c r="E39" s="196">
        <f t="shared" si="16"/>
        <v>-1</v>
      </c>
      <c r="F39" s="171"/>
      <c r="G39" s="414">
        <v>7000</v>
      </c>
      <c r="H39" s="415">
        <v>0</v>
      </c>
      <c r="I39" s="415">
        <f t="shared" si="17"/>
        <v>-7000</v>
      </c>
      <c r="J39" s="197">
        <f t="shared" si="18"/>
        <v>-1</v>
      </c>
      <c r="K39" s="956"/>
      <c r="L39" s="567">
        <v>7000</v>
      </c>
      <c r="M39" s="415">
        <v>1687.9</v>
      </c>
      <c r="N39" s="567">
        <f t="shared" si="19"/>
        <v>-5312.1</v>
      </c>
      <c r="O39" s="194">
        <f t="shared" si="20"/>
        <v>-0.75887142857142864</v>
      </c>
      <c r="P39" s="171"/>
      <c r="Q39" s="602">
        <v>7000</v>
      </c>
      <c r="R39" s="427">
        <v>0</v>
      </c>
      <c r="S39" s="415">
        <f t="shared" si="21"/>
        <v>-7000</v>
      </c>
      <c r="T39" s="195">
        <f t="shared" si="22"/>
        <v>-1</v>
      </c>
      <c r="U39" s="783"/>
      <c r="V39" s="414">
        <f>B39+G39+L39+Q39</f>
        <v>28000</v>
      </c>
      <c r="W39" s="415">
        <f t="shared" si="23"/>
        <v>1687.9</v>
      </c>
      <c r="X39" s="415">
        <f t="shared" si="24"/>
        <v>-26312.1</v>
      </c>
      <c r="Y39" s="194">
        <f t="shared" si="25"/>
        <v>-0.93971785714285705</v>
      </c>
      <c r="Z39" s="171"/>
      <c r="AA39" s="414">
        <v>28000</v>
      </c>
      <c r="AB39" s="415">
        <f t="shared" si="28"/>
        <v>26312.1</v>
      </c>
      <c r="AC39" s="196">
        <f t="shared" si="26"/>
        <v>0.93971785714285705</v>
      </c>
      <c r="AD39" s="166"/>
      <c r="AE39" s="1179"/>
    </row>
    <row r="40" spans="1:31" x14ac:dyDescent="0.3">
      <c r="A40" s="491" t="s">
        <v>40</v>
      </c>
      <c r="B40" s="1413">
        <v>0</v>
      </c>
      <c r="C40" s="898">
        <v>0</v>
      </c>
      <c r="D40" s="567">
        <f t="shared" si="15"/>
        <v>0</v>
      </c>
      <c r="E40" s="235" t="str">
        <f t="shared" si="16"/>
        <v>-</v>
      </c>
      <c r="F40" s="166"/>
      <c r="G40" s="414">
        <v>0</v>
      </c>
      <c r="H40" s="415">
        <v>0</v>
      </c>
      <c r="I40" s="415">
        <f t="shared" si="17"/>
        <v>0</v>
      </c>
      <c r="J40" s="208" t="str">
        <f t="shared" si="18"/>
        <v>-</v>
      </c>
      <c r="K40" s="910"/>
      <c r="L40" s="604">
        <v>0</v>
      </c>
      <c r="M40" s="416">
        <v>0</v>
      </c>
      <c r="N40" s="567">
        <f t="shared" si="19"/>
        <v>0</v>
      </c>
      <c r="O40" s="233" t="str">
        <f t="shared" si="20"/>
        <v>-</v>
      </c>
      <c r="P40" s="166"/>
      <c r="Q40" s="998">
        <v>0</v>
      </c>
      <c r="R40" s="567">
        <v>0</v>
      </c>
      <c r="S40" s="415">
        <f t="shared" si="21"/>
        <v>0</v>
      </c>
      <c r="T40" s="234" t="str">
        <f t="shared" si="22"/>
        <v>-</v>
      </c>
      <c r="U40" s="782"/>
      <c r="V40" s="414">
        <f>B40+G40+L40+Q40</f>
        <v>0</v>
      </c>
      <c r="W40" s="441">
        <f t="shared" si="23"/>
        <v>0</v>
      </c>
      <c r="X40" s="415">
        <f>W40-V40</f>
        <v>0</v>
      </c>
      <c r="Y40" s="233" t="str">
        <f t="shared" si="25"/>
        <v>-</v>
      </c>
      <c r="Z40" s="166"/>
      <c r="AA40" s="414">
        <v>5100</v>
      </c>
      <c r="AB40" s="441">
        <f t="shared" si="28"/>
        <v>5100</v>
      </c>
      <c r="AC40" s="233">
        <f t="shared" si="26"/>
        <v>1</v>
      </c>
      <c r="AD40" s="171"/>
      <c r="AE40" s="1181"/>
    </row>
    <row r="41" spans="1:31" x14ac:dyDescent="0.3">
      <c r="A41" s="477" t="s">
        <v>83</v>
      </c>
      <c r="B41" s="1063">
        <f>SUM(B33:B40)</f>
        <v>150147.80499999999</v>
      </c>
      <c r="C41" s="1232">
        <f>SUM(C33:C40)</f>
        <v>133392.20000000001</v>
      </c>
      <c r="D41" s="565">
        <f>SUM(D33:D40)</f>
        <v>-16755.604999999989</v>
      </c>
      <c r="E41" s="211">
        <f t="shared" si="16"/>
        <v>-0.11159407225433625</v>
      </c>
      <c r="F41" s="171"/>
      <c r="G41" s="432">
        <f>SUM(G33:G40)</f>
        <v>150147.80499999999</v>
      </c>
      <c r="H41" s="433">
        <f>SUM(H33:H40)</f>
        <v>98773.79</v>
      </c>
      <c r="I41" s="433">
        <f>SUM(I33:I40)</f>
        <v>-51374.015000000014</v>
      </c>
      <c r="J41" s="211">
        <f t="shared" si="18"/>
        <v>-0.342156283936352</v>
      </c>
      <c r="K41" s="171"/>
      <c r="L41" s="1000">
        <f>SUM(L33:L40)</f>
        <v>150147.80499999999</v>
      </c>
      <c r="M41" s="1000">
        <f>SUM(M33:M40)</f>
        <v>159138.53999999998</v>
      </c>
      <c r="N41" s="565">
        <f>SUM(N33:N40)</f>
        <v>8990.7349999999933</v>
      </c>
      <c r="O41" s="211">
        <f t="shared" si="20"/>
        <v>5.98792303357348E-2</v>
      </c>
      <c r="P41" s="171"/>
      <c r="Q41" s="432">
        <f>SUM(Q33:Q40)</f>
        <v>150147.80499999999</v>
      </c>
      <c r="R41" s="433">
        <f>SUM(R33:R40)</f>
        <v>157031.39000000001</v>
      </c>
      <c r="S41" s="433">
        <f>SUM(S33:S40)</f>
        <v>6883.5850000000173</v>
      </c>
      <c r="T41" s="211">
        <f t="shared" si="22"/>
        <v>4.584539214542642E-2</v>
      </c>
      <c r="U41" s="783"/>
      <c r="V41" s="432">
        <f>SUM(V33:V40)</f>
        <v>600591.22</v>
      </c>
      <c r="W41" s="433">
        <f>SUM(W33:W40)</f>
        <v>548335.92000000004</v>
      </c>
      <c r="X41" s="433">
        <f>SUM(X33:X40)</f>
        <v>-52255.299999999974</v>
      </c>
      <c r="Y41" s="211">
        <f t="shared" si="25"/>
        <v>-8.7006433427381735E-2</v>
      </c>
      <c r="Z41" s="171"/>
      <c r="AA41" s="434">
        <f>SUM(AA33:AA40)</f>
        <v>600591.22</v>
      </c>
      <c r="AB41" s="435">
        <f>SUM(AB33:AB40)</f>
        <v>52255.299999999974</v>
      </c>
      <c r="AC41" s="492">
        <f t="shared" si="26"/>
        <v>8.7006433427381735E-2</v>
      </c>
      <c r="AD41" s="166"/>
      <c r="AE41" s="1178"/>
    </row>
    <row r="42" spans="1:31" x14ac:dyDescent="0.3">
      <c r="A42" s="488"/>
      <c r="B42" s="1412"/>
      <c r="C42" s="1389"/>
      <c r="D42" s="566"/>
      <c r="E42" s="481"/>
      <c r="F42" s="166"/>
      <c r="G42" s="424"/>
      <c r="H42" s="425"/>
      <c r="I42" s="425"/>
      <c r="J42" s="493"/>
      <c r="K42" s="166"/>
      <c r="L42" s="906"/>
      <c r="M42" s="999"/>
      <c r="N42" s="566"/>
      <c r="O42" s="481"/>
      <c r="P42" s="166"/>
      <c r="Q42" s="424"/>
      <c r="R42" s="425"/>
      <c r="S42" s="425"/>
      <c r="T42" s="493"/>
      <c r="U42" s="782"/>
      <c r="V42" s="422"/>
      <c r="W42" s="423"/>
      <c r="X42" s="423"/>
      <c r="Y42" s="187"/>
      <c r="Z42" s="166"/>
      <c r="AA42" s="422"/>
      <c r="AB42" s="423"/>
      <c r="AC42" s="187"/>
      <c r="AD42" s="160"/>
      <c r="AE42" s="1178"/>
    </row>
    <row r="43" spans="1:31" x14ac:dyDescent="0.3">
      <c r="A43" s="483" t="s">
        <v>84</v>
      </c>
      <c r="B43" s="327"/>
      <c r="C43" s="412"/>
      <c r="D43" s="571"/>
      <c r="E43" s="494"/>
      <c r="F43" s="160"/>
      <c r="G43" s="446"/>
      <c r="H43" s="447"/>
      <c r="I43" s="447"/>
      <c r="J43" s="495"/>
      <c r="K43" s="160"/>
      <c r="L43" s="412"/>
      <c r="M43" s="908"/>
      <c r="N43" s="571"/>
      <c r="O43" s="494"/>
      <c r="P43" s="160"/>
      <c r="Q43" s="446"/>
      <c r="R43" s="447"/>
      <c r="S43" s="447"/>
      <c r="T43" s="495"/>
      <c r="U43" s="781"/>
      <c r="V43" s="444"/>
      <c r="W43" s="445"/>
      <c r="X43" s="415"/>
      <c r="Y43" s="225"/>
      <c r="Z43" s="160"/>
      <c r="AA43" s="444"/>
      <c r="AB43" s="415"/>
      <c r="AC43" s="225"/>
      <c r="AD43" s="171"/>
      <c r="AE43" s="1183"/>
    </row>
    <row r="44" spans="1:31" x14ac:dyDescent="0.3">
      <c r="A44" s="476" t="s">
        <v>85</v>
      </c>
      <c r="B44" s="397">
        <v>0</v>
      </c>
      <c r="C44" s="416">
        <v>0</v>
      </c>
      <c r="D44" s="567">
        <f t="shared" ref="D44:D75" si="29">C44-B44</f>
        <v>0</v>
      </c>
      <c r="E44" s="196" t="str">
        <f t="shared" ref="E44:E51" si="30">IF(ISERROR(D44/B44),"-",D44/B44)</f>
        <v>-</v>
      </c>
      <c r="F44" s="171"/>
      <c r="G44" s="414">
        <v>0</v>
      </c>
      <c r="H44" s="415">
        <v>0</v>
      </c>
      <c r="I44" s="415">
        <f t="shared" ref="I44:I75" si="31">H44-G44</f>
        <v>0</v>
      </c>
      <c r="J44" s="197" t="str">
        <f t="shared" ref="J44:J51" si="32">IF(ISERROR(I44/G44),"-",I44/G44)</f>
        <v>-</v>
      </c>
      <c r="K44" s="171"/>
      <c r="L44" s="416">
        <v>0</v>
      </c>
      <c r="M44" s="604">
        <v>0</v>
      </c>
      <c r="N44" s="567">
        <f t="shared" ref="N44:N75" si="33">M44-L44</f>
        <v>0</v>
      </c>
      <c r="O44" s="194" t="str">
        <f t="shared" ref="O44:O51" si="34">IF(ISERROR(N44/L44),"-",N44/L44)</f>
        <v>-</v>
      </c>
      <c r="P44" s="171"/>
      <c r="Q44" s="601">
        <v>0</v>
      </c>
      <c r="R44" s="602">
        <v>0</v>
      </c>
      <c r="S44" s="415">
        <f t="shared" ref="S44:S75" si="35">R44-Q44</f>
        <v>0</v>
      </c>
      <c r="T44" s="197" t="str">
        <f t="shared" ref="T44:T51" si="36">IF(ISERROR(S44/Q44),"-",S44/Q44)</f>
        <v>-</v>
      </c>
      <c r="U44" s="783"/>
      <c r="V44" s="414">
        <f>B44+G44+L44+Q44</f>
        <v>0</v>
      </c>
      <c r="W44" s="415">
        <f>C44+H44+M44+R44</f>
        <v>0</v>
      </c>
      <c r="X44" s="415">
        <f t="shared" ref="X44:X75" si="37">W44-V44</f>
        <v>0</v>
      </c>
      <c r="Y44" s="194" t="str">
        <f t="shared" ref="Y44:Y51" si="38">IF(ISERROR(X44/V44),"-",X44/V44)</f>
        <v>-</v>
      </c>
      <c r="Z44" s="171"/>
      <c r="AA44" s="414">
        <v>0</v>
      </c>
      <c r="AB44" s="415">
        <f t="shared" ref="AB44:AB51" si="39">AA44-W44</f>
        <v>0</v>
      </c>
      <c r="AC44" s="196" t="str">
        <f t="shared" ref="AC44:AC51" si="40">IF(ISERROR(AB44/AA44),"-",AB44/AA44)</f>
        <v>-</v>
      </c>
      <c r="AD44" s="230"/>
      <c r="AE44" s="1178"/>
    </row>
    <row r="45" spans="1:31" x14ac:dyDescent="0.3">
      <c r="A45" s="476" t="s">
        <v>128</v>
      </c>
      <c r="B45" s="397">
        <v>45000</v>
      </c>
      <c r="C45" s="416">
        <v>0</v>
      </c>
      <c r="D45" s="567">
        <f t="shared" si="29"/>
        <v>-45000</v>
      </c>
      <c r="E45" s="196">
        <f t="shared" si="30"/>
        <v>-1</v>
      </c>
      <c r="F45" s="230"/>
      <c r="G45" s="414">
        <v>45000</v>
      </c>
      <c r="H45" s="415">
        <v>0</v>
      </c>
      <c r="I45" s="415">
        <f t="shared" si="31"/>
        <v>-45000</v>
      </c>
      <c r="J45" s="197">
        <f t="shared" si="32"/>
        <v>-1</v>
      </c>
      <c r="K45" s="230"/>
      <c r="L45" s="416">
        <v>45000</v>
      </c>
      <c r="M45" s="604">
        <v>0</v>
      </c>
      <c r="N45" s="567">
        <f t="shared" si="33"/>
        <v>-45000</v>
      </c>
      <c r="O45" s="194">
        <f t="shared" si="34"/>
        <v>-1</v>
      </c>
      <c r="P45" s="230"/>
      <c r="Q45" s="601">
        <v>45000</v>
      </c>
      <c r="R45" s="602">
        <v>0</v>
      </c>
      <c r="S45" s="415">
        <f t="shared" si="35"/>
        <v>-45000</v>
      </c>
      <c r="T45" s="197">
        <f t="shared" si="36"/>
        <v>-1</v>
      </c>
      <c r="U45" s="785"/>
      <c r="V45" s="414">
        <f t="shared" ref="V45:V75" si="41">B45+G45+L45+Q45</f>
        <v>180000</v>
      </c>
      <c r="W45" s="415">
        <f t="shared" ref="W45:W75" si="42">C45+H45+M45+R45</f>
        <v>0</v>
      </c>
      <c r="X45" s="415">
        <f t="shared" si="37"/>
        <v>-180000</v>
      </c>
      <c r="Y45" s="194">
        <f t="shared" si="38"/>
        <v>-1</v>
      </c>
      <c r="Z45" s="230"/>
      <c r="AA45" s="414">
        <v>140000</v>
      </c>
      <c r="AB45" s="415">
        <f t="shared" si="39"/>
        <v>140000</v>
      </c>
      <c r="AC45" s="196">
        <f t="shared" si="40"/>
        <v>1</v>
      </c>
      <c r="AD45" s="230"/>
      <c r="AE45" s="1178"/>
    </row>
    <row r="46" spans="1:31" x14ac:dyDescent="0.3">
      <c r="A46" s="476" t="s">
        <v>180</v>
      </c>
      <c r="B46" s="397">
        <v>0</v>
      </c>
      <c r="C46" s="416">
        <v>0</v>
      </c>
      <c r="D46" s="567">
        <f t="shared" si="29"/>
        <v>0</v>
      </c>
      <c r="E46" s="196" t="str">
        <f t="shared" si="30"/>
        <v>-</v>
      </c>
      <c r="F46" s="230"/>
      <c r="G46" s="414">
        <v>0</v>
      </c>
      <c r="H46" s="415">
        <v>0</v>
      </c>
      <c r="I46" s="415">
        <f t="shared" si="31"/>
        <v>0</v>
      </c>
      <c r="J46" s="197" t="str">
        <f t="shared" si="32"/>
        <v>-</v>
      </c>
      <c r="K46" s="230"/>
      <c r="L46" s="416">
        <v>0</v>
      </c>
      <c r="M46" s="604">
        <v>0</v>
      </c>
      <c r="N46" s="567">
        <f t="shared" si="33"/>
        <v>0</v>
      </c>
      <c r="O46" s="266" t="str">
        <f t="shared" si="34"/>
        <v>-</v>
      </c>
      <c r="P46" s="230"/>
      <c r="Q46" s="601">
        <v>0</v>
      </c>
      <c r="R46" s="602">
        <v>0</v>
      </c>
      <c r="S46" s="415">
        <f t="shared" si="35"/>
        <v>0</v>
      </c>
      <c r="T46" s="197" t="str">
        <f t="shared" si="36"/>
        <v>-</v>
      </c>
      <c r="U46" s="785"/>
      <c r="V46" s="414">
        <f t="shared" si="41"/>
        <v>0</v>
      </c>
      <c r="W46" s="415">
        <f t="shared" si="42"/>
        <v>0</v>
      </c>
      <c r="X46" s="415">
        <f t="shared" si="37"/>
        <v>0</v>
      </c>
      <c r="Y46" s="266" t="str">
        <f t="shared" si="38"/>
        <v>-</v>
      </c>
      <c r="Z46" s="230"/>
      <c r="AA46" s="414">
        <v>0</v>
      </c>
      <c r="AB46" s="415">
        <f t="shared" si="39"/>
        <v>0</v>
      </c>
      <c r="AC46" s="196" t="str">
        <f t="shared" si="40"/>
        <v>-</v>
      </c>
      <c r="AD46" s="230"/>
      <c r="AE46" s="1183"/>
    </row>
    <row r="47" spans="1:31" x14ac:dyDescent="0.3">
      <c r="A47" s="476" t="s">
        <v>86</v>
      </c>
      <c r="B47" s="397">
        <v>375</v>
      </c>
      <c r="C47" s="416">
        <v>1961</v>
      </c>
      <c r="D47" s="567">
        <f t="shared" si="29"/>
        <v>1586</v>
      </c>
      <c r="E47" s="196">
        <f t="shared" si="30"/>
        <v>4.2293333333333329</v>
      </c>
      <c r="F47" s="230"/>
      <c r="G47" s="414">
        <v>375</v>
      </c>
      <c r="H47" s="415">
        <v>137</v>
      </c>
      <c r="I47" s="415">
        <f t="shared" si="31"/>
        <v>-238</v>
      </c>
      <c r="J47" s="197">
        <f t="shared" si="32"/>
        <v>-0.63466666666666671</v>
      </c>
      <c r="K47" s="230"/>
      <c r="L47" s="416">
        <v>375</v>
      </c>
      <c r="M47" s="604">
        <v>420</v>
      </c>
      <c r="N47" s="567">
        <f t="shared" si="33"/>
        <v>45</v>
      </c>
      <c r="O47" s="194">
        <f t="shared" si="34"/>
        <v>0.12</v>
      </c>
      <c r="P47" s="230"/>
      <c r="Q47" s="601">
        <v>375</v>
      </c>
      <c r="R47" s="602">
        <v>453.5</v>
      </c>
      <c r="S47" s="415">
        <f t="shared" si="35"/>
        <v>78.5</v>
      </c>
      <c r="T47" s="197">
        <f t="shared" si="36"/>
        <v>0.20933333333333334</v>
      </c>
      <c r="U47" s="785"/>
      <c r="V47" s="414">
        <f t="shared" si="41"/>
        <v>1500</v>
      </c>
      <c r="W47" s="415">
        <f t="shared" si="42"/>
        <v>2971.5</v>
      </c>
      <c r="X47" s="415">
        <f t="shared" si="37"/>
        <v>1471.5</v>
      </c>
      <c r="Y47" s="194">
        <f t="shared" si="38"/>
        <v>0.98099999999999998</v>
      </c>
      <c r="Z47" s="230"/>
      <c r="AA47" s="414">
        <v>1500</v>
      </c>
      <c r="AB47" s="415">
        <f t="shared" si="39"/>
        <v>-1471.5</v>
      </c>
      <c r="AC47" s="196">
        <f t="shared" si="40"/>
        <v>-0.98099999999999998</v>
      </c>
      <c r="AD47" s="230"/>
      <c r="AE47" s="1178"/>
    </row>
    <row r="48" spans="1:31" x14ac:dyDescent="0.3">
      <c r="A48" s="476" t="s">
        <v>87</v>
      </c>
      <c r="B48" s="397">
        <v>0</v>
      </c>
      <c r="C48" s="416">
        <v>0</v>
      </c>
      <c r="D48" s="567">
        <f t="shared" si="29"/>
        <v>0</v>
      </c>
      <c r="E48" s="196" t="str">
        <f t="shared" si="30"/>
        <v>-</v>
      </c>
      <c r="F48" s="230"/>
      <c r="G48" s="414">
        <v>0</v>
      </c>
      <c r="H48" s="415">
        <v>0</v>
      </c>
      <c r="I48" s="415">
        <f t="shared" si="31"/>
        <v>0</v>
      </c>
      <c r="J48" s="197" t="str">
        <f t="shared" si="32"/>
        <v>-</v>
      </c>
      <c r="K48" s="230"/>
      <c r="L48" s="416">
        <v>0</v>
      </c>
      <c r="M48" s="604">
        <v>0</v>
      </c>
      <c r="N48" s="567">
        <f t="shared" si="33"/>
        <v>0</v>
      </c>
      <c r="O48" s="266" t="str">
        <f t="shared" si="34"/>
        <v>-</v>
      </c>
      <c r="P48" s="230"/>
      <c r="Q48" s="601">
        <v>0</v>
      </c>
      <c r="R48" s="602">
        <v>0</v>
      </c>
      <c r="S48" s="415">
        <f t="shared" si="35"/>
        <v>0</v>
      </c>
      <c r="T48" s="197" t="str">
        <f t="shared" si="36"/>
        <v>-</v>
      </c>
      <c r="U48" s="785"/>
      <c r="V48" s="414">
        <f t="shared" si="41"/>
        <v>0</v>
      </c>
      <c r="W48" s="415">
        <f t="shared" si="42"/>
        <v>0</v>
      </c>
      <c r="X48" s="415">
        <f t="shared" si="37"/>
        <v>0</v>
      </c>
      <c r="Y48" s="266" t="str">
        <f t="shared" si="38"/>
        <v>-</v>
      </c>
      <c r="Z48" s="230"/>
      <c r="AA48" s="414">
        <v>0</v>
      </c>
      <c r="AB48" s="415">
        <f t="shared" si="39"/>
        <v>0</v>
      </c>
      <c r="AC48" s="196" t="str">
        <f t="shared" si="40"/>
        <v>-</v>
      </c>
      <c r="AD48" s="171"/>
      <c r="AE48" s="1183"/>
    </row>
    <row r="49" spans="1:31" x14ac:dyDescent="0.3">
      <c r="A49" s="476" t="s">
        <v>88</v>
      </c>
      <c r="B49" s="397">
        <v>0</v>
      </c>
      <c r="C49" s="416">
        <v>0</v>
      </c>
      <c r="D49" s="567">
        <f t="shared" si="29"/>
        <v>0</v>
      </c>
      <c r="E49" s="196" t="str">
        <f t="shared" si="30"/>
        <v>-</v>
      </c>
      <c r="F49" s="171"/>
      <c r="G49" s="414">
        <v>0</v>
      </c>
      <c r="H49" s="415">
        <v>0</v>
      </c>
      <c r="I49" s="415">
        <f t="shared" si="31"/>
        <v>0</v>
      </c>
      <c r="J49" s="197" t="str">
        <f t="shared" si="32"/>
        <v>-</v>
      </c>
      <c r="K49" s="171"/>
      <c r="L49" s="416">
        <v>0</v>
      </c>
      <c r="M49" s="604">
        <v>0</v>
      </c>
      <c r="N49" s="567">
        <f t="shared" si="33"/>
        <v>0</v>
      </c>
      <c r="O49" s="194" t="str">
        <f t="shared" si="34"/>
        <v>-</v>
      </c>
      <c r="P49" s="171"/>
      <c r="Q49" s="601">
        <v>0</v>
      </c>
      <c r="R49" s="602">
        <v>0</v>
      </c>
      <c r="S49" s="415">
        <f t="shared" si="35"/>
        <v>0</v>
      </c>
      <c r="T49" s="197" t="str">
        <f t="shared" si="36"/>
        <v>-</v>
      </c>
      <c r="U49" s="783"/>
      <c r="V49" s="414">
        <f t="shared" si="41"/>
        <v>0</v>
      </c>
      <c r="W49" s="415">
        <f t="shared" si="42"/>
        <v>0</v>
      </c>
      <c r="X49" s="415">
        <f t="shared" si="37"/>
        <v>0</v>
      </c>
      <c r="Y49" s="194" t="str">
        <f t="shared" si="38"/>
        <v>-</v>
      </c>
      <c r="Z49" s="171"/>
      <c r="AA49" s="414">
        <v>0</v>
      </c>
      <c r="AB49" s="415">
        <f t="shared" si="39"/>
        <v>0</v>
      </c>
      <c r="AC49" s="196" t="str">
        <f t="shared" si="40"/>
        <v>-</v>
      </c>
      <c r="AD49" s="171"/>
      <c r="AE49" s="1183"/>
    </row>
    <row r="50" spans="1:31" x14ac:dyDescent="0.3">
      <c r="A50" s="476" t="s">
        <v>89</v>
      </c>
      <c r="B50" s="397">
        <v>0</v>
      </c>
      <c r="C50" s="416">
        <v>0</v>
      </c>
      <c r="D50" s="567">
        <f t="shared" si="29"/>
        <v>0</v>
      </c>
      <c r="E50" s="196" t="str">
        <f t="shared" si="30"/>
        <v>-</v>
      </c>
      <c r="F50" s="171"/>
      <c r="G50" s="414">
        <v>0</v>
      </c>
      <c r="H50" s="415">
        <v>0</v>
      </c>
      <c r="I50" s="415">
        <f t="shared" si="31"/>
        <v>0</v>
      </c>
      <c r="J50" s="197" t="str">
        <f t="shared" si="32"/>
        <v>-</v>
      </c>
      <c r="K50" s="171"/>
      <c r="L50" s="416">
        <v>0</v>
      </c>
      <c r="M50" s="604">
        <v>0</v>
      </c>
      <c r="N50" s="567">
        <f t="shared" si="33"/>
        <v>0</v>
      </c>
      <c r="O50" s="194" t="str">
        <f t="shared" si="34"/>
        <v>-</v>
      </c>
      <c r="P50" s="171"/>
      <c r="Q50" s="601">
        <v>0</v>
      </c>
      <c r="R50" s="602">
        <v>0</v>
      </c>
      <c r="S50" s="415">
        <f t="shared" si="35"/>
        <v>0</v>
      </c>
      <c r="T50" s="197" t="str">
        <f t="shared" si="36"/>
        <v>-</v>
      </c>
      <c r="U50" s="783"/>
      <c r="V50" s="414">
        <f t="shared" si="41"/>
        <v>0</v>
      </c>
      <c r="W50" s="415">
        <f t="shared" si="42"/>
        <v>0</v>
      </c>
      <c r="X50" s="415">
        <f t="shared" si="37"/>
        <v>0</v>
      </c>
      <c r="Y50" s="194" t="str">
        <f t="shared" si="38"/>
        <v>-</v>
      </c>
      <c r="Z50" s="171"/>
      <c r="AA50" s="414">
        <v>0</v>
      </c>
      <c r="AB50" s="415">
        <f t="shared" si="39"/>
        <v>0</v>
      </c>
      <c r="AC50" s="196" t="str">
        <f t="shared" si="40"/>
        <v>-</v>
      </c>
      <c r="AD50" s="171"/>
      <c r="AE50" s="1183"/>
    </row>
    <row r="51" spans="1:31" x14ac:dyDescent="0.3">
      <c r="A51" s="476" t="s">
        <v>179</v>
      </c>
      <c r="B51" s="397">
        <v>0</v>
      </c>
      <c r="C51" s="416">
        <v>0</v>
      </c>
      <c r="D51" s="567">
        <f t="shared" si="29"/>
        <v>0</v>
      </c>
      <c r="E51" s="196" t="str">
        <f t="shared" si="30"/>
        <v>-</v>
      </c>
      <c r="F51" s="171"/>
      <c r="G51" s="414">
        <v>0</v>
      </c>
      <c r="H51" s="415">
        <v>0</v>
      </c>
      <c r="I51" s="415">
        <f t="shared" si="31"/>
        <v>0</v>
      </c>
      <c r="J51" s="197" t="str">
        <f t="shared" si="32"/>
        <v>-</v>
      </c>
      <c r="K51" s="171"/>
      <c r="L51" s="416">
        <v>0</v>
      </c>
      <c r="M51" s="604">
        <v>0</v>
      </c>
      <c r="N51" s="567">
        <f t="shared" si="33"/>
        <v>0</v>
      </c>
      <c r="O51" s="194" t="str">
        <f t="shared" si="34"/>
        <v>-</v>
      </c>
      <c r="P51" s="171"/>
      <c r="Q51" s="601">
        <v>0</v>
      </c>
      <c r="R51" s="602">
        <v>0</v>
      </c>
      <c r="S51" s="415">
        <f t="shared" si="35"/>
        <v>0</v>
      </c>
      <c r="T51" s="197" t="str">
        <f t="shared" si="36"/>
        <v>-</v>
      </c>
      <c r="U51" s="783"/>
      <c r="V51" s="414">
        <f t="shared" si="41"/>
        <v>0</v>
      </c>
      <c r="W51" s="415">
        <f t="shared" si="42"/>
        <v>0</v>
      </c>
      <c r="X51" s="415">
        <f t="shared" si="37"/>
        <v>0</v>
      </c>
      <c r="Y51" s="194" t="str">
        <f t="shared" si="38"/>
        <v>-</v>
      </c>
      <c r="Z51" s="171"/>
      <c r="AA51" s="414">
        <v>0</v>
      </c>
      <c r="AB51" s="415">
        <f t="shared" si="39"/>
        <v>0</v>
      </c>
      <c r="AC51" s="196" t="str">
        <f t="shared" si="40"/>
        <v>-</v>
      </c>
      <c r="AD51" s="230"/>
      <c r="AE51" s="1178"/>
    </row>
    <row r="52" spans="1:31" x14ac:dyDescent="0.3">
      <c r="A52" s="476" t="s">
        <v>178</v>
      </c>
      <c r="B52" s="397">
        <v>443.75</v>
      </c>
      <c r="C52" s="416">
        <v>0</v>
      </c>
      <c r="D52" s="567">
        <f t="shared" si="29"/>
        <v>-443.75</v>
      </c>
      <c r="E52" s="196">
        <f t="shared" ref="E52:E76" si="43">IF(ISERROR(D52/B52),"-",D52/B52)</f>
        <v>-1</v>
      </c>
      <c r="F52" s="230"/>
      <c r="G52" s="414">
        <v>443.75</v>
      </c>
      <c r="H52" s="415">
        <v>0</v>
      </c>
      <c r="I52" s="415">
        <f t="shared" si="31"/>
        <v>-443.75</v>
      </c>
      <c r="J52" s="197">
        <f t="shared" ref="J52:J75" si="44">IF(ISERROR(I52/G52),"-",I52/G52)</f>
        <v>-1</v>
      </c>
      <c r="K52" s="230"/>
      <c r="L52" s="416">
        <v>443.75</v>
      </c>
      <c r="M52" s="604">
        <v>0</v>
      </c>
      <c r="N52" s="567">
        <f t="shared" si="33"/>
        <v>-443.75</v>
      </c>
      <c r="O52" s="194">
        <f t="shared" ref="O52:O71" si="45">IF(ISERROR(N52/L52),"-",N52/L52)</f>
        <v>-1</v>
      </c>
      <c r="P52" s="230"/>
      <c r="Q52" s="601">
        <v>443.75</v>
      </c>
      <c r="R52" s="602">
        <v>8014.43</v>
      </c>
      <c r="S52" s="415">
        <f t="shared" si="35"/>
        <v>7570.68</v>
      </c>
      <c r="T52" s="197">
        <f t="shared" ref="T52:T71" si="46">IF(ISERROR(S52/Q52),"-",S52/Q52)</f>
        <v>17.060687323943661</v>
      </c>
      <c r="U52" s="785"/>
      <c r="V52" s="414">
        <f t="shared" si="41"/>
        <v>1775</v>
      </c>
      <c r="W52" s="415">
        <f t="shared" si="42"/>
        <v>8014.43</v>
      </c>
      <c r="X52" s="415">
        <f t="shared" si="37"/>
        <v>6239.43</v>
      </c>
      <c r="Y52" s="194">
        <f t="shared" ref="Y52:Y76" si="47">IF(ISERROR(X52/V52),"-",X52/V52)</f>
        <v>3.5151718309859157</v>
      </c>
      <c r="Z52" s="230"/>
      <c r="AA52" s="414">
        <v>1775</v>
      </c>
      <c r="AB52" s="415">
        <f>AA52-W52</f>
        <v>-6239.43</v>
      </c>
      <c r="AC52" s="196">
        <f t="shared" ref="AC52:AC76" si="48">IF(ISERROR(AB52/AA52),"-",AB52/AA52)</f>
        <v>-3.5151718309859157</v>
      </c>
      <c r="AD52" s="230"/>
      <c r="AE52" s="1179"/>
    </row>
    <row r="53" spans="1:31" x14ac:dyDescent="0.3">
      <c r="A53" s="476" t="s">
        <v>82</v>
      </c>
      <c r="B53" s="397">
        <v>13200</v>
      </c>
      <c r="C53" s="416">
        <v>13200</v>
      </c>
      <c r="D53" s="567">
        <f t="shared" si="29"/>
        <v>0</v>
      </c>
      <c r="E53" s="196">
        <f t="shared" si="43"/>
        <v>0</v>
      </c>
      <c r="F53" s="230"/>
      <c r="G53" s="414">
        <v>13200</v>
      </c>
      <c r="H53" s="415">
        <v>9196.77</v>
      </c>
      <c r="I53" s="415">
        <f t="shared" si="31"/>
        <v>-4003.2299999999996</v>
      </c>
      <c r="J53" s="197">
        <f t="shared" si="44"/>
        <v>-0.30327499999999996</v>
      </c>
      <c r="K53" s="230"/>
      <c r="L53" s="416">
        <v>13200</v>
      </c>
      <c r="M53" s="604">
        <v>15750</v>
      </c>
      <c r="N53" s="567">
        <f t="shared" si="33"/>
        <v>2550</v>
      </c>
      <c r="O53" s="194">
        <f t="shared" si="45"/>
        <v>0.19318181818181818</v>
      </c>
      <c r="P53" s="230"/>
      <c r="Q53" s="601">
        <v>13200</v>
      </c>
      <c r="R53" s="602">
        <v>13200</v>
      </c>
      <c r="S53" s="415">
        <f t="shared" si="35"/>
        <v>0</v>
      </c>
      <c r="T53" s="197">
        <f t="shared" si="46"/>
        <v>0</v>
      </c>
      <c r="U53" s="785"/>
      <c r="V53" s="414">
        <f t="shared" si="41"/>
        <v>52800</v>
      </c>
      <c r="W53" s="415">
        <f t="shared" si="42"/>
        <v>51346.770000000004</v>
      </c>
      <c r="X53" s="415">
        <f t="shared" si="37"/>
        <v>-1453.2299999999959</v>
      </c>
      <c r="Y53" s="194">
        <f t="shared" si="47"/>
        <v>-2.7523295454545377E-2</v>
      </c>
      <c r="Z53" s="230"/>
      <c r="AA53" s="414">
        <v>52800</v>
      </c>
      <c r="AB53" s="415">
        <f>AA53-W53</f>
        <v>1453.2299999999959</v>
      </c>
      <c r="AC53" s="196">
        <f t="shared" si="48"/>
        <v>2.7523295454545377E-2</v>
      </c>
      <c r="AD53" s="230"/>
      <c r="AE53" s="1179"/>
    </row>
    <row r="54" spans="1:31" x14ac:dyDescent="0.3">
      <c r="A54" s="476" t="s">
        <v>177</v>
      </c>
      <c r="B54" s="397">
        <v>0</v>
      </c>
      <c r="C54" s="416">
        <v>0</v>
      </c>
      <c r="D54" s="567">
        <f t="shared" si="29"/>
        <v>0</v>
      </c>
      <c r="E54" s="196" t="str">
        <f t="shared" si="43"/>
        <v>-</v>
      </c>
      <c r="F54" s="230"/>
      <c r="G54" s="414">
        <v>0</v>
      </c>
      <c r="H54" s="415">
        <v>0</v>
      </c>
      <c r="I54" s="415">
        <f t="shared" si="31"/>
        <v>0</v>
      </c>
      <c r="J54" s="197" t="str">
        <f t="shared" si="44"/>
        <v>-</v>
      </c>
      <c r="K54" s="230"/>
      <c r="L54" s="416">
        <v>0</v>
      </c>
      <c r="M54" s="604">
        <v>0</v>
      </c>
      <c r="N54" s="567">
        <f t="shared" si="33"/>
        <v>0</v>
      </c>
      <c r="O54" s="194" t="str">
        <f t="shared" si="45"/>
        <v>-</v>
      </c>
      <c r="P54" s="230"/>
      <c r="Q54" s="601">
        <v>0</v>
      </c>
      <c r="R54" s="602">
        <v>0</v>
      </c>
      <c r="S54" s="415">
        <f t="shared" si="35"/>
        <v>0</v>
      </c>
      <c r="T54" s="197" t="str">
        <f t="shared" si="46"/>
        <v>-</v>
      </c>
      <c r="U54" s="785"/>
      <c r="V54" s="414">
        <f t="shared" si="41"/>
        <v>0</v>
      </c>
      <c r="W54" s="415">
        <f t="shared" si="42"/>
        <v>0</v>
      </c>
      <c r="X54" s="415">
        <f t="shared" si="37"/>
        <v>0</v>
      </c>
      <c r="Y54" s="194" t="str">
        <f t="shared" si="47"/>
        <v>-</v>
      </c>
      <c r="Z54" s="230"/>
      <c r="AA54" s="414">
        <v>0</v>
      </c>
      <c r="AB54" s="415">
        <v>0</v>
      </c>
      <c r="AC54" s="196" t="str">
        <f t="shared" si="48"/>
        <v>-</v>
      </c>
      <c r="AD54" s="230"/>
      <c r="AE54" s="1178"/>
    </row>
    <row r="55" spans="1:31" x14ac:dyDescent="0.3">
      <c r="A55" s="476" t="s">
        <v>90</v>
      </c>
      <c r="B55" s="397">
        <v>0</v>
      </c>
      <c r="C55" s="416">
        <v>0</v>
      </c>
      <c r="D55" s="567">
        <f t="shared" si="29"/>
        <v>0</v>
      </c>
      <c r="E55" s="196" t="str">
        <f t="shared" si="43"/>
        <v>-</v>
      </c>
      <c r="F55" s="230"/>
      <c r="G55" s="414">
        <v>0</v>
      </c>
      <c r="H55" s="415">
        <v>0</v>
      </c>
      <c r="I55" s="415">
        <f t="shared" si="31"/>
        <v>0</v>
      </c>
      <c r="J55" s="197" t="str">
        <f t="shared" si="44"/>
        <v>-</v>
      </c>
      <c r="K55" s="230"/>
      <c r="L55" s="416">
        <v>0</v>
      </c>
      <c r="M55" s="604">
        <v>0</v>
      </c>
      <c r="N55" s="567">
        <f t="shared" si="33"/>
        <v>0</v>
      </c>
      <c r="O55" s="266" t="str">
        <f t="shared" si="45"/>
        <v>-</v>
      </c>
      <c r="P55" s="230"/>
      <c r="Q55" s="601">
        <v>0</v>
      </c>
      <c r="R55" s="602">
        <v>0</v>
      </c>
      <c r="S55" s="415">
        <f t="shared" si="35"/>
        <v>0</v>
      </c>
      <c r="T55" s="197" t="str">
        <f t="shared" si="46"/>
        <v>-</v>
      </c>
      <c r="U55" s="785"/>
      <c r="V55" s="414">
        <f t="shared" si="41"/>
        <v>0</v>
      </c>
      <c r="W55" s="415">
        <f t="shared" si="42"/>
        <v>0</v>
      </c>
      <c r="X55" s="415">
        <f t="shared" si="37"/>
        <v>0</v>
      </c>
      <c r="Y55" s="266" t="str">
        <f t="shared" si="47"/>
        <v>-</v>
      </c>
      <c r="Z55" s="230"/>
      <c r="AA55" s="414">
        <v>0</v>
      </c>
      <c r="AB55" s="415">
        <f t="shared" ref="AB55:AB75" si="49">AA55-W55</f>
        <v>0</v>
      </c>
      <c r="AC55" s="196" t="str">
        <f t="shared" si="48"/>
        <v>-</v>
      </c>
      <c r="AD55" s="230"/>
      <c r="AE55" s="1178"/>
    </row>
    <row r="56" spans="1:31" x14ac:dyDescent="0.3">
      <c r="A56" s="476" t="s">
        <v>91</v>
      </c>
      <c r="B56" s="397">
        <v>1250</v>
      </c>
      <c r="C56" s="416">
        <v>529</v>
      </c>
      <c r="D56" s="567">
        <f t="shared" si="29"/>
        <v>-721</v>
      </c>
      <c r="E56" s="196">
        <f t="shared" si="43"/>
        <v>-0.57679999999999998</v>
      </c>
      <c r="F56" s="230"/>
      <c r="G56" s="414">
        <v>1250</v>
      </c>
      <c r="H56" s="415">
        <v>0</v>
      </c>
      <c r="I56" s="415">
        <f t="shared" si="31"/>
        <v>-1250</v>
      </c>
      <c r="J56" s="197">
        <f t="shared" si="44"/>
        <v>-1</v>
      </c>
      <c r="K56" s="230"/>
      <c r="L56" s="416">
        <v>1250</v>
      </c>
      <c r="M56" s="604">
        <v>709.14</v>
      </c>
      <c r="N56" s="567">
        <f t="shared" si="33"/>
        <v>-540.86</v>
      </c>
      <c r="O56" s="266">
        <f t="shared" si="45"/>
        <v>-0.43268800000000002</v>
      </c>
      <c r="P56" s="230"/>
      <c r="Q56" s="601">
        <v>1250</v>
      </c>
      <c r="R56" s="602">
        <v>1830.85</v>
      </c>
      <c r="S56" s="415">
        <f t="shared" si="35"/>
        <v>580.84999999999991</v>
      </c>
      <c r="T56" s="197">
        <f t="shared" si="46"/>
        <v>0.46467999999999993</v>
      </c>
      <c r="U56" s="785"/>
      <c r="V56" s="414">
        <f t="shared" si="41"/>
        <v>5000</v>
      </c>
      <c r="W56" s="415">
        <f t="shared" si="42"/>
        <v>3068.99</v>
      </c>
      <c r="X56" s="415">
        <f t="shared" si="37"/>
        <v>-1931.0100000000002</v>
      </c>
      <c r="Y56" s="266">
        <f t="shared" si="47"/>
        <v>-0.38620200000000005</v>
      </c>
      <c r="Z56" s="230"/>
      <c r="AA56" s="414">
        <v>5000</v>
      </c>
      <c r="AB56" s="415">
        <f t="shared" si="49"/>
        <v>1931.0100000000002</v>
      </c>
      <c r="AC56" s="196">
        <f t="shared" si="48"/>
        <v>0.38620200000000005</v>
      </c>
      <c r="AD56" s="230"/>
      <c r="AE56" s="1179"/>
    </row>
    <row r="57" spans="1:31" x14ac:dyDescent="0.3">
      <c r="A57" s="476" t="s">
        <v>92</v>
      </c>
      <c r="B57" s="397">
        <v>0</v>
      </c>
      <c r="C57" s="416">
        <v>0</v>
      </c>
      <c r="D57" s="567">
        <f t="shared" si="29"/>
        <v>0</v>
      </c>
      <c r="E57" s="196" t="str">
        <f t="shared" si="43"/>
        <v>-</v>
      </c>
      <c r="F57" s="230"/>
      <c r="G57" s="414">
        <v>0</v>
      </c>
      <c r="H57" s="415">
        <v>0</v>
      </c>
      <c r="I57" s="415">
        <f t="shared" si="31"/>
        <v>0</v>
      </c>
      <c r="J57" s="197" t="str">
        <f t="shared" si="44"/>
        <v>-</v>
      </c>
      <c r="K57" s="230"/>
      <c r="L57" s="416">
        <v>0</v>
      </c>
      <c r="M57" s="604">
        <v>0</v>
      </c>
      <c r="N57" s="567">
        <f t="shared" si="33"/>
        <v>0</v>
      </c>
      <c r="O57" s="194" t="str">
        <f t="shared" si="45"/>
        <v>-</v>
      </c>
      <c r="P57" s="230"/>
      <c r="Q57" s="601">
        <v>0</v>
      </c>
      <c r="R57" s="602">
        <v>0</v>
      </c>
      <c r="S57" s="415">
        <f t="shared" si="35"/>
        <v>0</v>
      </c>
      <c r="T57" s="197" t="str">
        <f t="shared" si="46"/>
        <v>-</v>
      </c>
      <c r="U57" s="785"/>
      <c r="V57" s="414">
        <f t="shared" si="41"/>
        <v>0</v>
      </c>
      <c r="W57" s="415">
        <f t="shared" si="42"/>
        <v>0</v>
      </c>
      <c r="X57" s="415">
        <f t="shared" si="37"/>
        <v>0</v>
      </c>
      <c r="Y57" s="194" t="str">
        <f t="shared" si="47"/>
        <v>-</v>
      </c>
      <c r="Z57" s="230"/>
      <c r="AA57" s="414">
        <v>0</v>
      </c>
      <c r="AB57" s="415">
        <f t="shared" si="49"/>
        <v>0</v>
      </c>
      <c r="AC57" s="196" t="str">
        <f t="shared" si="48"/>
        <v>-</v>
      </c>
      <c r="AD57" s="230"/>
      <c r="AE57" s="1179"/>
    </row>
    <row r="58" spans="1:31" x14ac:dyDescent="0.3">
      <c r="A58" s="476" t="s">
        <v>93</v>
      </c>
      <c r="B58" s="397">
        <v>1250</v>
      </c>
      <c r="C58" s="416">
        <v>0</v>
      </c>
      <c r="D58" s="567">
        <f t="shared" si="29"/>
        <v>-1250</v>
      </c>
      <c r="E58" s="196">
        <f t="shared" si="43"/>
        <v>-1</v>
      </c>
      <c r="F58" s="230"/>
      <c r="G58" s="414">
        <v>1250</v>
      </c>
      <c r="H58" s="415">
        <v>0</v>
      </c>
      <c r="I58" s="415">
        <f t="shared" si="31"/>
        <v>-1250</v>
      </c>
      <c r="J58" s="197">
        <f t="shared" si="44"/>
        <v>-1</v>
      </c>
      <c r="K58" s="230"/>
      <c r="L58" s="416">
        <v>1250</v>
      </c>
      <c r="M58" s="604">
        <v>0</v>
      </c>
      <c r="N58" s="567">
        <f t="shared" si="33"/>
        <v>-1250</v>
      </c>
      <c r="O58" s="194">
        <f t="shared" si="45"/>
        <v>-1</v>
      </c>
      <c r="P58" s="230"/>
      <c r="Q58" s="601">
        <v>1250</v>
      </c>
      <c r="R58" s="602">
        <v>0</v>
      </c>
      <c r="S58" s="415">
        <f t="shared" si="35"/>
        <v>-1250</v>
      </c>
      <c r="T58" s="197">
        <f t="shared" si="46"/>
        <v>-1</v>
      </c>
      <c r="U58" s="785"/>
      <c r="V58" s="414">
        <f t="shared" si="41"/>
        <v>5000</v>
      </c>
      <c r="W58" s="415">
        <f t="shared" si="42"/>
        <v>0</v>
      </c>
      <c r="X58" s="415">
        <f t="shared" si="37"/>
        <v>-5000</v>
      </c>
      <c r="Y58" s="194">
        <f t="shared" si="47"/>
        <v>-1</v>
      </c>
      <c r="Z58" s="230"/>
      <c r="AA58" s="414">
        <v>5000</v>
      </c>
      <c r="AB58" s="415">
        <f t="shared" si="49"/>
        <v>5000</v>
      </c>
      <c r="AC58" s="196">
        <f t="shared" si="48"/>
        <v>1</v>
      </c>
      <c r="AD58" s="171"/>
      <c r="AE58" s="1179"/>
    </row>
    <row r="59" spans="1:31" x14ac:dyDescent="0.3">
      <c r="A59" s="476" t="s">
        <v>94</v>
      </c>
      <c r="B59" s="397">
        <v>875</v>
      </c>
      <c r="C59" s="416">
        <v>809.93</v>
      </c>
      <c r="D59" s="567">
        <f t="shared" si="29"/>
        <v>-65.07000000000005</v>
      </c>
      <c r="E59" s="196">
        <f t="shared" si="43"/>
        <v>-7.4365714285714341E-2</v>
      </c>
      <c r="F59" s="171"/>
      <c r="G59" s="414">
        <v>875</v>
      </c>
      <c r="H59" s="415">
        <v>210.48</v>
      </c>
      <c r="I59" s="415">
        <f t="shared" si="31"/>
        <v>-664.52</v>
      </c>
      <c r="J59" s="197">
        <f t="shared" si="44"/>
        <v>-0.75945142857142856</v>
      </c>
      <c r="K59" s="171"/>
      <c r="L59" s="416">
        <v>875</v>
      </c>
      <c r="M59" s="604">
        <v>728.06</v>
      </c>
      <c r="N59" s="567">
        <f t="shared" si="33"/>
        <v>-146.94000000000005</v>
      </c>
      <c r="O59" s="194">
        <f t="shared" si="45"/>
        <v>-0.16793142857142862</v>
      </c>
      <c r="P59" s="171"/>
      <c r="Q59" s="601">
        <v>875</v>
      </c>
      <c r="R59" s="602">
        <v>775.4</v>
      </c>
      <c r="S59" s="415">
        <f t="shared" si="35"/>
        <v>-99.600000000000023</v>
      </c>
      <c r="T59" s="197">
        <f t="shared" si="46"/>
        <v>-0.11382857142857146</v>
      </c>
      <c r="U59" s="783"/>
      <c r="V59" s="414">
        <f t="shared" si="41"/>
        <v>3500</v>
      </c>
      <c r="W59" s="415">
        <f t="shared" si="42"/>
        <v>2523.87</v>
      </c>
      <c r="X59" s="415">
        <f t="shared" si="37"/>
        <v>-976.13000000000011</v>
      </c>
      <c r="Y59" s="194">
        <f t="shared" si="47"/>
        <v>-0.27889428571428576</v>
      </c>
      <c r="Z59" s="171"/>
      <c r="AA59" s="414">
        <v>3500</v>
      </c>
      <c r="AB59" s="415">
        <f t="shared" si="49"/>
        <v>976.13000000000011</v>
      </c>
      <c r="AC59" s="196">
        <f t="shared" si="48"/>
        <v>0.27889428571428576</v>
      </c>
      <c r="AD59" s="171"/>
      <c r="AE59" s="1179"/>
    </row>
    <row r="60" spans="1:31" x14ac:dyDescent="0.3">
      <c r="A60" s="476" t="s">
        <v>95</v>
      </c>
      <c r="B60" s="397">
        <v>875</v>
      </c>
      <c r="C60" s="416">
        <v>0</v>
      </c>
      <c r="D60" s="567">
        <f t="shared" si="29"/>
        <v>-875</v>
      </c>
      <c r="E60" s="196">
        <f t="shared" si="43"/>
        <v>-1</v>
      </c>
      <c r="F60" s="171"/>
      <c r="G60" s="414">
        <v>875</v>
      </c>
      <c r="H60" s="415">
        <v>0</v>
      </c>
      <c r="I60" s="415">
        <f t="shared" si="31"/>
        <v>-875</v>
      </c>
      <c r="J60" s="197">
        <f t="shared" si="44"/>
        <v>-1</v>
      </c>
      <c r="K60" s="171"/>
      <c r="L60" s="416">
        <v>875</v>
      </c>
      <c r="M60" s="604">
        <v>0</v>
      </c>
      <c r="N60" s="567">
        <f t="shared" si="33"/>
        <v>-875</v>
      </c>
      <c r="O60" s="194">
        <f t="shared" si="45"/>
        <v>-1</v>
      </c>
      <c r="P60" s="171"/>
      <c r="Q60" s="601">
        <v>875</v>
      </c>
      <c r="R60" s="602">
        <v>0</v>
      </c>
      <c r="S60" s="415">
        <f t="shared" si="35"/>
        <v>-875</v>
      </c>
      <c r="T60" s="197">
        <f t="shared" si="46"/>
        <v>-1</v>
      </c>
      <c r="U60" s="783"/>
      <c r="V60" s="414">
        <f t="shared" si="41"/>
        <v>3500</v>
      </c>
      <c r="W60" s="415">
        <f t="shared" si="42"/>
        <v>0</v>
      </c>
      <c r="X60" s="415">
        <f t="shared" si="37"/>
        <v>-3500</v>
      </c>
      <c r="Y60" s="194">
        <f t="shared" si="47"/>
        <v>-1</v>
      </c>
      <c r="Z60" s="171"/>
      <c r="AA60" s="414">
        <v>3500</v>
      </c>
      <c r="AB60" s="415">
        <f t="shared" si="49"/>
        <v>3500</v>
      </c>
      <c r="AC60" s="196">
        <f t="shared" si="48"/>
        <v>1</v>
      </c>
      <c r="AD60" s="171"/>
      <c r="AE60" s="1179"/>
    </row>
    <row r="61" spans="1:31" x14ac:dyDescent="0.3">
      <c r="A61" s="476" t="s">
        <v>96</v>
      </c>
      <c r="B61" s="397">
        <v>2500</v>
      </c>
      <c r="C61" s="416">
        <v>0</v>
      </c>
      <c r="D61" s="567">
        <f t="shared" si="29"/>
        <v>-2500</v>
      </c>
      <c r="E61" s="196">
        <f t="shared" si="43"/>
        <v>-1</v>
      </c>
      <c r="F61" s="171"/>
      <c r="G61" s="414">
        <v>2500</v>
      </c>
      <c r="H61" s="415">
        <v>0</v>
      </c>
      <c r="I61" s="415">
        <f t="shared" si="31"/>
        <v>-2500</v>
      </c>
      <c r="J61" s="197">
        <f t="shared" si="44"/>
        <v>-1</v>
      </c>
      <c r="K61" s="171"/>
      <c r="L61" s="416">
        <v>2500</v>
      </c>
      <c r="M61" s="604">
        <v>1682.02</v>
      </c>
      <c r="N61" s="567">
        <f t="shared" si="33"/>
        <v>-817.98</v>
      </c>
      <c r="O61" s="194">
        <f t="shared" si="45"/>
        <v>-0.32719199999999998</v>
      </c>
      <c r="P61" s="171"/>
      <c r="Q61" s="601">
        <v>2500</v>
      </c>
      <c r="R61" s="602">
        <v>3075.4</v>
      </c>
      <c r="S61" s="415">
        <f t="shared" si="35"/>
        <v>575.40000000000009</v>
      </c>
      <c r="T61" s="197">
        <f t="shared" si="46"/>
        <v>0.23016000000000003</v>
      </c>
      <c r="U61" s="783"/>
      <c r="V61" s="414">
        <f t="shared" si="41"/>
        <v>10000</v>
      </c>
      <c r="W61" s="415">
        <f t="shared" si="42"/>
        <v>4757.42</v>
      </c>
      <c r="X61" s="415">
        <f t="shared" si="37"/>
        <v>-5242.58</v>
      </c>
      <c r="Y61" s="194">
        <f t="shared" si="47"/>
        <v>-0.524258</v>
      </c>
      <c r="Z61" s="171"/>
      <c r="AA61" s="414">
        <v>10000</v>
      </c>
      <c r="AB61" s="415">
        <f t="shared" si="49"/>
        <v>5242.58</v>
      </c>
      <c r="AC61" s="196">
        <f t="shared" si="48"/>
        <v>0.524258</v>
      </c>
      <c r="AD61" s="171"/>
      <c r="AE61" s="1179"/>
    </row>
    <row r="62" spans="1:31" x14ac:dyDescent="0.3">
      <c r="A62" s="476" t="s">
        <v>110</v>
      </c>
      <c r="B62" s="397">
        <v>1500</v>
      </c>
      <c r="C62" s="416">
        <v>-53.6</v>
      </c>
      <c r="D62" s="567">
        <f t="shared" si="29"/>
        <v>-1553.6</v>
      </c>
      <c r="E62" s="196">
        <f t="shared" si="43"/>
        <v>-1.0357333333333332</v>
      </c>
      <c r="F62" s="171"/>
      <c r="G62" s="414">
        <v>1500</v>
      </c>
      <c r="H62" s="415">
        <v>3154.89</v>
      </c>
      <c r="I62" s="415">
        <f t="shared" si="31"/>
        <v>1654.8899999999999</v>
      </c>
      <c r="J62" s="197">
        <f t="shared" si="44"/>
        <v>1.1032599999999999</v>
      </c>
      <c r="K62" s="171"/>
      <c r="L62" s="416">
        <v>1500</v>
      </c>
      <c r="M62" s="604">
        <v>2972.41</v>
      </c>
      <c r="N62" s="567">
        <f t="shared" si="33"/>
        <v>1472.4099999999999</v>
      </c>
      <c r="O62" s="194">
        <f t="shared" si="45"/>
        <v>0.98160666666666652</v>
      </c>
      <c r="P62" s="171"/>
      <c r="Q62" s="601">
        <v>1500</v>
      </c>
      <c r="R62" s="602">
        <v>1572.68</v>
      </c>
      <c r="S62" s="415">
        <f t="shared" si="35"/>
        <v>72.680000000000064</v>
      </c>
      <c r="T62" s="197">
        <f t="shared" si="46"/>
        <v>4.8453333333333376E-2</v>
      </c>
      <c r="U62" s="783"/>
      <c r="V62" s="414">
        <f t="shared" si="41"/>
        <v>6000</v>
      </c>
      <c r="W62" s="415">
        <f t="shared" si="42"/>
        <v>7646.38</v>
      </c>
      <c r="X62" s="415">
        <f t="shared" si="37"/>
        <v>1646.38</v>
      </c>
      <c r="Y62" s="194">
        <f t="shared" si="47"/>
        <v>0.27439666666666668</v>
      </c>
      <c r="Z62" s="171"/>
      <c r="AA62" s="414">
        <v>6000</v>
      </c>
      <c r="AB62" s="415">
        <f t="shared" si="49"/>
        <v>-1646.38</v>
      </c>
      <c r="AC62" s="196">
        <f t="shared" si="48"/>
        <v>-0.27439666666666668</v>
      </c>
      <c r="AD62" s="230"/>
      <c r="AE62" s="1179"/>
    </row>
    <row r="63" spans="1:31" x14ac:dyDescent="0.3">
      <c r="A63" s="476" t="s">
        <v>124</v>
      </c>
      <c r="B63" s="397">
        <v>0</v>
      </c>
      <c r="C63" s="416">
        <v>0</v>
      </c>
      <c r="D63" s="567">
        <f t="shared" si="29"/>
        <v>0</v>
      </c>
      <c r="E63" s="196" t="str">
        <f t="shared" si="43"/>
        <v>-</v>
      </c>
      <c r="F63" s="230"/>
      <c r="G63" s="414">
        <v>0</v>
      </c>
      <c r="H63" s="415">
        <v>0</v>
      </c>
      <c r="I63" s="415">
        <f t="shared" si="31"/>
        <v>0</v>
      </c>
      <c r="J63" s="197" t="str">
        <f t="shared" si="44"/>
        <v>-</v>
      </c>
      <c r="K63" s="230"/>
      <c r="L63" s="416">
        <v>0</v>
      </c>
      <c r="M63" s="604">
        <v>0</v>
      </c>
      <c r="N63" s="567">
        <f t="shared" si="33"/>
        <v>0</v>
      </c>
      <c r="O63" s="194" t="str">
        <f t="shared" si="45"/>
        <v>-</v>
      </c>
      <c r="P63" s="230"/>
      <c r="Q63" s="601">
        <v>0</v>
      </c>
      <c r="R63" s="602">
        <v>0</v>
      </c>
      <c r="S63" s="415">
        <f t="shared" si="35"/>
        <v>0</v>
      </c>
      <c r="T63" s="197" t="str">
        <f t="shared" si="46"/>
        <v>-</v>
      </c>
      <c r="U63" s="785"/>
      <c r="V63" s="414">
        <f t="shared" si="41"/>
        <v>0</v>
      </c>
      <c r="W63" s="415">
        <f t="shared" si="42"/>
        <v>0</v>
      </c>
      <c r="X63" s="415">
        <f t="shared" si="37"/>
        <v>0</v>
      </c>
      <c r="Y63" s="194" t="str">
        <f t="shared" si="47"/>
        <v>-</v>
      </c>
      <c r="Z63" s="230"/>
      <c r="AA63" s="414">
        <v>0</v>
      </c>
      <c r="AB63" s="415">
        <f t="shared" si="49"/>
        <v>0</v>
      </c>
      <c r="AC63" s="196" t="str">
        <f t="shared" si="48"/>
        <v>-</v>
      </c>
      <c r="AD63" s="230"/>
      <c r="AE63" s="1178"/>
    </row>
    <row r="64" spans="1:31" x14ac:dyDescent="0.3">
      <c r="A64" s="476" t="s">
        <v>176</v>
      </c>
      <c r="B64" s="397">
        <v>2807500</v>
      </c>
      <c r="C64" s="416">
        <v>2287896.2200000002</v>
      </c>
      <c r="D64" s="567">
        <f t="shared" si="29"/>
        <v>-519603.7799999998</v>
      </c>
      <c r="E64" s="196">
        <f t="shared" si="43"/>
        <v>-0.1850770365093499</v>
      </c>
      <c r="F64" s="230"/>
      <c r="G64" s="414">
        <v>2807500</v>
      </c>
      <c r="H64" s="415">
        <v>2290804.84</v>
      </c>
      <c r="I64" s="415">
        <f t="shared" si="31"/>
        <v>-516695.16000000015</v>
      </c>
      <c r="J64" s="197">
        <f t="shared" si="44"/>
        <v>-0.18404101869991102</v>
      </c>
      <c r="K64" s="230"/>
      <c r="L64" s="416">
        <v>2807500</v>
      </c>
      <c r="M64" s="604">
        <v>3086496.59</v>
      </c>
      <c r="N64" s="567">
        <f t="shared" si="33"/>
        <v>278996.58999999985</v>
      </c>
      <c r="O64" s="266">
        <f t="shared" si="45"/>
        <v>9.937545503116646E-2</v>
      </c>
      <c r="P64" s="230"/>
      <c r="Q64" s="601">
        <v>2807500</v>
      </c>
      <c r="R64" s="602">
        <v>2839894.54</v>
      </c>
      <c r="S64" s="415">
        <f t="shared" si="35"/>
        <v>32394.540000000037</v>
      </c>
      <c r="T64" s="197">
        <f t="shared" si="46"/>
        <v>1.1538571682991999E-2</v>
      </c>
      <c r="U64" s="785"/>
      <c r="V64" s="414">
        <f t="shared" si="41"/>
        <v>11230000</v>
      </c>
      <c r="W64" s="415">
        <f t="shared" si="42"/>
        <v>10505092.190000001</v>
      </c>
      <c r="X64" s="415">
        <f t="shared" si="37"/>
        <v>-724907.80999999866</v>
      </c>
      <c r="Y64" s="266">
        <f t="shared" si="47"/>
        <v>-6.4551007123775483E-2</v>
      </c>
      <c r="Z64" s="230"/>
      <c r="AA64" s="414">
        <v>11230000</v>
      </c>
      <c r="AB64" s="415">
        <f t="shared" si="49"/>
        <v>724907.80999999866</v>
      </c>
      <c r="AC64" s="196">
        <f t="shared" si="48"/>
        <v>6.4551007123775483E-2</v>
      </c>
      <c r="AD64" s="230"/>
      <c r="AE64" s="1179"/>
    </row>
    <row r="65" spans="1:31" x14ac:dyDescent="0.3">
      <c r="A65" s="476" t="s">
        <v>122</v>
      </c>
      <c r="B65" s="397">
        <v>5500</v>
      </c>
      <c r="C65" s="416">
        <v>0</v>
      </c>
      <c r="D65" s="567">
        <f t="shared" si="29"/>
        <v>-5500</v>
      </c>
      <c r="E65" s="196">
        <f t="shared" si="43"/>
        <v>-1</v>
      </c>
      <c r="F65" s="230"/>
      <c r="G65" s="414">
        <v>5500</v>
      </c>
      <c r="H65" s="415">
        <v>0</v>
      </c>
      <c r="I65" s="415">
        <f t="shared" si="31"/>
        <v>-5500</v>
      </c>
      <c r="J65" s="197">
        <f t="shared" si="44"/>
        <v>-1</v>
      </c>
      <c r="K65" s="230"/>
      <c r="L65" s="416">
        <v>5500</v>
      </c>
      <c r="M65" s="604">
        <v>3635</v>
      </c>
      <c r="N65" s="567">
        <f t="shared" si="33"/>
        <v>-1865</v>
      </c>
      <c r="O65" s="194">
        <f t="shared" si="45"/>
        <v>-0.33909090909090911</v>
      </c>
      <c r="P65" s="230"/>
      <c r="Q65" s="601">
        <v>5500</v>
      </c>
      <c r="R65" s="602">
        <v>0</v>
      </c>
      <c r="S65" s="415">
        <f t="shared" si="35"/>
        <v>-5500</v>
      </c>
      <c r="T65" s="197">
        <f t="shared" si="46"/>
        <v>-1</v>
      </c>
      <c r="U65" s="785"/>
      <c r="V65" s="414">
        <f t="shared" si="41"/>
        <v>22000</v>
      </c>
      <c r="W65" s="415">
        <f t="shared" si="42"/>
        <v>3635</v>
      </c>
      <c r="X65" s="415">
        <f t="shared" si="37"/>
        <v>-18365</v>
      </c>
      <c r="Y65" s="194">
        <f t="shared" si="47"/>
        <v>-0.83477272727272722</v>
      </c>
      <c r="Z65" s="230"/>
      <c r="AA65" s="414">
        <v>62000</v>
      </c>
      <c r="AB65" s="415">
        <f t="shared" si="49"/>
        <v>58365</v>
      </c>
      <c r="AC65" s="196">
        <f t="shared" si="48"/>
        <v>0.94137096774193552</v>
      </c>
      <c r="AD65" s="171"/>
      <c r="AE65" s="1178"/>
    </row>
    <row r="66" spans="1:31" x14ac:dyDescent="0.3">
      <c r="A66" s="476" t="s">
        <v>114</v>
      </c>
      <c r="B66" s="397">
        <v>0</v>
      </c>
      <c r="C66" s="416">
        <v>0</v>
      </c>
      <c r="D66" s="567">
        <f t="shared" si="29"/>
        <v>0</v>
      </c>
      <c r="E66" s="196" t="str">
        <f t="shared" si="43"/>
        <v>-</v>
      </c>
      <c r="F66" s="171"/>
      <c r="G66" s="414">
        <v>0</v>
      </c>
      <c r="H66" s="415">
        <v>0</v>
      </c>
      <c r="I66" s="415">
        <f t="shared" si="31"/>
        <v>0</v>
      </c>
      <c r="J66" s="197" t="str">
        <f t="shared" si="44"/>
        <v>-</v>
      </c>
      <c r="K66" s="171"/>
      <c r="L66" s="416">
        <v>0</v>
      </c>
      <c r="M66" s="604">
        <v>0</v>
      </c>
      <c r="N66" s="567">
        <f t="shared" si="33"/>
        <v>0</v>
      </c>
      <c r="O66" s="266" t="str">
        <f t="shared" si="45"/>
        <v>-</v>
      </c>
      <c r="P66" s="171"/>
      <c r="Q66" s="601">
        <v>0</v>
      </c>
      <c r="R66" s="602">
        <v>0</v>
      </c>
      <c r="S66" s="415">
        <f t="shared" si="35"/>
        <v>0</v>
      </c>
      <c r="T66" s="197" t="str">
        <f t="shared" si="46"/>
        <v>-</v>
      </c>
      <c r="U66" s="783"/>
      <c r="V66" s="414">
        <f t="shared" si="41"/>
        <v>0</v>
      </c>
      <c r="W66" s="415">
        <f t="shared" si="42"/>
        <v>0</v>
      </c>
      <c r="X66" s="415">
        <f t="shared" si="37"/>
        <v>0</v>
      </c>
      <c r="Y66" s="266" t="str">
        <f t="shared" si="47"/>
        <v>-</v>
      </c>
      <c r="Z66" s="171"/>
      <c r="AA66" s="414">
        <v>0</v>
      </c>
      <c r="AB66" s="415">
        <f t="shared" si="49"/>
        <v>0</v>
      </c>
      <c r="AC66" s="196" t="str">
        <f t="shared" si="48"/>
        <v>-</v>
      </c>
      <c r="AD66" s="230"/>
      <c r="AE66" s="1178"/>
    </row>
    <row r="67" spans="1:31" x14ac:dyDescent="0.3">
      <c r="A67" s="476" t="s">
        <v>115</v>
      </c>
      <c r="B67" s="397">
        <v>8814</v>
      </c>
      <c r="C67" s="416">
        <v>10170</v>
      </c>
      <c r="D67" s="567">
        <f t="shared" si="29"/>
        <v>1356</v>
      </c>
      <c r="E67" s="196">
        <f t="shared" si="43"/>
        <v>0.15384615384615385</v>
      </c>
      <c r="F67" s="230"/>
      <c r="G67" s="414">
        <v>8814</v>
      </c>
      <c r="H67" s="415">
        <v>10170</v>
      </c>
      <c r="I67" s="415">
        <f t="shared" si="31"/>
        <v>1356</v>
      </c>
      <c r="J67" s="197">
        <f t="shared" si="44"/>
        <v>0.15384615384615385</v>
      </c>
      <c r="K67" s="230"/>
      <c r="L67" s="416">
        <v>8814</v>
      </c>
      <c r="M67" s="604">
        <v>10170</v>
      </c>
      <c r="N67" s="567">
        <f t="shared" si="33"/>
        <v>1356</v>
      </c>
      <c r="O67" s="266">
        <f t="shared" si="45"/>
        <v>0.15384615384615385</v>
      </c>
      <c r="P67" s="230"/>
      <c r="Q67" s="601">
        <v>8814</v>
      </c>
      <c r="R67" s="602">
        <v>10170</v>
      </c>
      <c r="S67" s="415">
        <f t="shared" si="35"/>
        <v>1356</v>
      </c>
      <c r="T67" s="197">
        <f t="shared" si="46"/>
        <v>0.15384615384615385</v>
      </c>
      <c r="U67" s="785"/>
      <c r="V67" s="414">
        <f t="shared" si="41"/>
        <v>35256</v>
      </c>
      <c r="W67" s="415">
        <f t="shared" si="42"/>
        <v>40680</v>
      </c>
      <c r="X67" s="415">
        <f t="shared" si="37"/>
        <v>5424</v>
      </c>
      <c r="Y67" s="266">
        <f t="shared" si="47"/>
        <v>0.15384615384615385</v>
      </c>
      <c r="Z67" s="230"/>
      <c r="AA67" s="414">
        <v>40680</v>
      </c>
      <c r="AB67" s="415">
        <f t="shared" si="49"/>
        <v>0</v>
      </c>
      <c r="AC67" s="196">
        <f t="shared" si="48"/>
        <v>0</v>
      </c>
      <c r="AD67" s="230"/>
      <c r="AE67" s="1179"/>
    </row>
    <row r="68" spans="1:31" x14ac:dyDescent="0.3">
      <c r="A68" s="476" t="s">
        <v>121</v>
      </c>
      <c r="B68" s="397">
        <v>0</v>
      </c>
      <c r="C68" s="416">
        <v>0</v>
      </c>
      <c r="D68" s="567">
        <f t="shared" si="29"/>
        <v>0</v>
      </c>
      <c r="E68" s="196" t="str">
        <f t="shared" si="43"/>
        <v>-</v>
      </c>
      <c r="F68" s="230"/>
      <c r="G68" s="414">
        <v>0</v>
      </c>
      <c r="H68" s="415">
        <v>0</v>
      </c>
      <c r="I68" s="415">
        <f t="shared" si="31"/>
        <v>0</v>
      </c>
      <c r="J68" s="197" t="str">
        <f t="shared" si="44"/>
        <v>-</v>
      </c>
      <c r="K68" s="230"/>
      <c r="L68" s="416">
        <v>0</v>
      </c>
      <c r="M68" s="416">
        <v>0</v>
      </c>
      <c r="N68" s="567">
        <f t="shared" si="33"/>
        <v>0</v>
      </c>
      <c r="O68" s="194" t="str">
        <f t="shared" si="45"/>
        <v>-</v>
      </c>
      <c r="P68" s="230"/>
      <c r="Q68" s="601">
        <v>0</v>
      </c>
      <c r="R68" s="1019">
        <v>0</v>
      </c>
      <c r="S68" s="415">
        <f t="shared" si="35"/>
        <v>0</v>
      </c>
      <c r="T68" s="197" t="str">
        <f t="shared" si="46"/>
        <v>-</v>
      </c>
      <c r="U68" s="785"/>
      <c r="V68" s="414">
        <f t="shared" si="41"/>
        <v>0</v>
      </c>
      <c r="W68" s="415">
        <f t="shared" si="42"/>
        <v>0</v>
      </c>
      <c r="X68" s="415">
        <f t="shared" si="37"/>
        <v>0</v>
      </c>
      <c r="Y68" s="194" t="str">
        <f t="shared" si="47"/>
        <v>-</v>
      </c>
      <c r="Z68" s="230"/>
      <c r="AA68" s="414">
        <v>0</v>
      </c>
      <c r="AB68" s="415">
        <f t="shared" si="49"/>
        <v>0</v>
      </c>
      <c r="AC68" s="196" t="str">
        <f t="shared" si="48"/>
        <v>-</v>
      </c>
      <c r="AD68" s="171"/>
      <c r="AE68" s="1179"/>
    </row>
    <row r="69" spans="1:31" x14ac:dyDescent="0.3">
      <c r="A69" s="476" t="s">
        <v>97</v>
      </c>
      <c r="B69" s="397">
        <v>0</v>
      </c>
      <c r="C69" s="416">
        <v>0</v>
      </c>
      <c r="D69" s="567">
        <f t="shared" si="29"/>
        <v>0</v>
      </c>
      <c r="E69" s="196" t="str">
        <f t="shared" si="43"/>
        <v>-</v>
      </c>
      <c r="F69" s="171"/>
      <c r="G69" s="414">
        <v>0</v>
      </c>
      <c r="H69" s="415">
        <v>0</v>
      </c>
      <c r="I69" s="415">
        <f t="shared" si="31"/>
        <v>0</v>
      </c>
      <c r="J69" s="197" t="str">
        <f t="shared" si="44"/>
        <v>-</v>
      </c>
      <c r="K69" s="171"/>
      <c r="L69" s="416">
        <v>0</v>
      </c>
      <c r="M69" s="416">
        <v>0</v>
      </c>
      <c r="N69" s="567">
        <f t="shared" si="33"/>
        <v>0</v>
      </c>
      <c r="O69" s="194" t="str">
        <f t="shared" si="45"/>
        <v>-</v>
      </c>
      <c r="P69" s="171"/>
      <c r="Q69" s="601">
        <v>0</v>
      </c>
      <c r="R69" s="1019">
        <v>0</v>
      </c>
      <c r="S69" s="415">
        <f t="shared" si="35"/>
        <v>0</v>
      </c>
      <c r="T69" s="197" t="str">
        <f t="shared" si="46"/>
        <v>-</v>
      </c>
      <c r="U69" s="783"/>
      <c r="V69" s="414">
        <f t="shared" si="41"/>
        <v>0</v>
      </c>
      <c r="W69" s="415">
        <f t="shared" si="42"/>
        <v>0</v>
      </c>
      <c r="X69" s="415">
        <f t="shared" si="37"/>
        <v>0</v>
      </c>
      <c r="Y69" s="194" t="str">
        <f t="shared" si="47"/>
        <v>-</v>
      </c>
      <c r="Z69" s="171"/>
      <c r="AA69" s="414">
        <v>0</v>
      </c>
      <c r="AB69" s="415">
        <f t="shared" si="49"/>
        <v>0</v>
      </c>
      <c r="AC69" s="196" t="str">
        <f t="shared" si="48"/>
        <v>-</v>
      </c>
      <c r="AD69" s="230"/>
      <c r="AE69" s="1179"/>
    </row>
    <row r="70" spans="1:31" x14ac:dyDescent="0.3">
      <c r="A70" s="476" t="s">
        <v>98</v>
      </c>
      <c r="B70" s="397">
        <v>0</v>
      </c>
      <c r="C70" s="416">
        <v>0</v>
      </c>
      <c r="D70" s="567">
        <f t="shared" si="29"/>
        <v>0</v>
      </c>
      <c r="E70" s="196" t="str">
        <f t="shared" si="43"/>
        <v>-</v>
      </c>
      <c r="F70" s="230"/>
      <c r="G70" s="414">
        <v>0</v>
      </c>
      <c r="H70" s="415">
        <v>0</v>
      </c>
      <c r="I70" s="415">
        <f t="shared" si="31"/>
        <v>0</v>
      </c>
      <c r="J70" s="197" t="str">
        <f t="shared" si="44"/>
        <v>-</v>
      </c>
      <c r="K70" s="230"/>
      <c r="L70" s="416">
        <v>0</v>
      </c>
      <c r="M70" s="416">
        <v>0</v>
      </c>
      <c r="N70" s="567">
        <f t="shared" si="33"/>
        <v>0</v>
      </c>
      <c r="O70" s="194" t="str">
        <f t="shared" si="45"/>
        <v>-</v>
      </c>
      <c r="P70" s="230"/>
      <c r="Q70" s="601">
        <v>0</v>
      </c>
      <c r="R70" s="1019">
        <v>0</v>
      </c>
      <c r="S70" s="415">
        <f t="shared" si="35"/>
        <v>0</v>
      </c>
      <c r="T70" s="197" t="str">
        <f t="shared" si="46"/>
        <v>-</v>
      </c>
      <c r="U70" s="785"/>
      <c r="V70" s="414">
        <f t="shared" si="41"/>
        <v>0</v>
      </c>
      <c r="W70" s="415">
        <f t="shared" si="42"/>
        <v>0</v>
      </c>
      <c r="X70" s="415">
        <f t="shared" si="37"/>
        <v>0</v>
      </c>
      <c r="Y70" s="194" t="str">
        <f t="shared" si="47"/>
        <v>-</v>
      </c>
      <c r="Z70" s="230"/>
      <c r="AA70" s="414">
        <v>0</v>
      </c>
      <c r="AB70" s="415">
        <f t="shared" si="49"/>
        <v>0</v>
      </c>
      <c r="AC70" s="196" t="str">
        <f t="shared" si="48"/>
        <v>-</v>
      </c>
      <c r="AD70" s="171"/>
      <c r="AE70" s="1179"/>
    </row>
    <row r="71" spans="1:31" x14ac:dyDescent="0.3">
      <c r="A71" s="476" t="s">
        <v>116</v>
      </c>
      <c r="B71" s="397">
        <v>0</v>
      </c>
      <c r="C71" s="416">
        <v>0</v>
      </c>
      <c r="D71" s="567">
        <f t="shared" si="29"/>
        <v>0</v>
      </c>
      <c r="E71" s="196" t="str">
        <f t="shared" si="43"/>
        <v>-</v>
      </c>
      <c r="F71" s="171"/>
      <c r="G71" s="414">
        <v>0</v>
      </c>
      <c r="H71" s="415">
        <v>0</v>
      </c>
      <c r="I71" s="415">
        <f t="shared" si="31"/>
        <v>0</v>
      </c>
      <c r="J71" s="197" t="str">
        <f t="shared" si="44"/>
        <v>-</v>
      </c>
      <c r="K71" s="171"/>
      <c r="L71" s="416">
        <v>0</v>
      </c>
      <c r="M71" s="416">
        <v>0</v>
      </c>
      <c r="N71" s="567">
        <f t="shared" si="33"/>
        <v>0</v>
      </c>
      <c r="O71" s="194" t="str">
        <f t="shared" si="45"/>
        <v>-</v>
      </c>
      <c r="P71" s="171"/>
      <c r="Q71" s="601">
        <v>0</v>
      </c>
      <c r="R71" s="1019">
        <v>0</v>
      </c>
      <c r="S71" s="415">
        <f t="shared" si="35"/>
        <v>0</v>
      </c>
      <c r="T71" s="197" t="str">
        <f t="shared" si="46"/>
        <v>-</v>
      </c>
      <c r="U71" s="783"/>
      <c r="V71" s="414">
        <f t="shared" si="41"/>
        <v>0</v>
      </c>
      <c r="W71" s="415">
        <f t="shared" si="42"/>
        <v>0</v>
      </c>
      <c r="X71" s="415">
        <f t="shared" si="37"/>
        <v>0</v>
      </c>
      <c r="Y71" s="194" t="str">
        <f t="shared" si="47"/>
        <v>-</v>
      </c>
      <c r="Z71" s="171"/>
      <c r="AA71" s="414">
        <v>0</v>
      </c>
      <c r="AB71" s="415">
        <f t="shared" si="49"/>
        <v>0</v>
      </c>
      <c r="AC71" s="196" t="str">
        <f t="shared" si="48"/>
        <v>-</v>
      </c>
      <c r="AD71" s="230"/>
      <c r="AE71" s="1178"/>
    </row>
    <row r="72" spans="1:31" x14ac:dyDescent="0.3">
      <c r="A72" s="476" t="s">
        <v>99</v>
      </c>
      <c r="B72" s="397">
        <v>3750</v>
      </c>
      <c r="C72" s="416">
        <v>0</v>
      </c>
      <c r="D72" s="567">
        <f t="shared" si="29"/>
        <v>-3750</v>
      </c>
      <c r="E72" s="196">
        <f t="shared" si="43"/>
        <v>-1</v>
      </c>
      <c r="F72" s="230"/>
      <c r="G72" s="414">
        <v>3750</v>
      </c>
      <c r="H72" s="415">
        <v>13515</v>
      </c>
      <c r="I72" s="415">
        <f t="shared" si="31"/>
        <v>9765</v>
      </c>
      <c r="J72" s="197">
        <f t="shared" si="44"/>
        <v>2.6040000000000001</v>
      </c>
      <c r="K72" s="230"/>
      <c r="L72" s="416">
        <v>3750</v>
      </c>
      <c r="M72" s="604">
        <v>0</v>
      </c>
      <c r="N72" s="567">
        <f t="shared" si="33"/>
        <v>-3750</v>
      </c>
      <c r="O72" s="194"/>
      <c r="P72" s="230"/>
      <c r="Q72" s="601">
        <v>3750</v>
      </c>
      <c r="R72" s="602">
        <v>0</v>
      </c>
      <c r="S72" s="415">
        <f t="shared" si="35"/>
        <v>-3750</v>
      </c>
      <c r="T72" s="197"/>
      <c r="U72" s="785"/>
      <c r="V72" s="414">
        <f t="shared" si="41"/>
        <v>15000</v>
      </c>
      <c r="W72" s="415">
        <f t="shared" si="42"/>
        <v>13515</v>
      </c>
      <c r="X72" s="415">
        <f t="shared" si="37"/>
        <v>-1485</v>
      </c>
      <c r="Y72" s="194">
        <f t="shared" si="47"/>
        <v>-9.9000000000000005E-2</v>
      </c>
      <c r="Z72" s="230"/>
      <c r="AA72" s="414">
        <v>15000</v>
      </c>
      <c r="AB72" s="415">
        <f t="shared" si="49"/>
        <v>1485</v>
      </c>
      <c r="AC72" s="196">
        <f t="shared" si="48"/>
        <v>9.9000000000000005E-2</v>
      </c>
      <c r="AD72" s="171"/>
      <c r="AE72" s="1178"/>
    </row>
    <row r="73" spans="1:31" x14ac:dyDescent="0.3">
      <c r="A73" s="476" t="s">
        <v>100</v>
      </c>
      <c r="B73" s="397">
        <v>0</v>
      </c>
      <c r="C73" s="416">
        <v>0</v>
      </c>
      <c r="D73" s="567">
        <f t="shared" si="29"/>
        <v>0</v>
      </c>
      <c r="E73" s="196" t="str">
        <f t="shared" si="43"/>
        <v>-</v>
      </c>
      <c r="F73" s="171"/>
      <c r="G73" s="414">
        <v>0</v>
      </c>
      <c r="H73" s="415">
        <v>0</v>
      </c>
      <c r="I73" s="415">
        <f t="shared" si="31"/>
        <v>0</v>
      </c>
      <c r="J73" s="197" t="str">
        <f t="shared" si="44"/>
        <v>-</v>
      </c>
      <c r="K73" s="171"/>
      <c r="L73" s="416">
        <v>0</v>
      </c>
      <c r="M73" s="604">
        <v>0</v>
      </c>
      <c r="N73" s="567">
        <f t="shared" si="33"/>
        <v>0</v>
      </c>
      <c r="O73" s="266" t="str">
        <f>IF(ISERROR(N73/L73),"-",N73/L73)</f>
        <v>-</v>
      </c>
      <c r="P73" s="171"/>
      <c r="Q73" s="601">
        <v>0</v>
      </c>
      <c r="R73" s="602">
        <v>0</v>
      </c>
      <c r="S73" s="415">
        <f t="shared" si="35"/>
        <v>0</v>
      </c>
      <c r="T73" s="197" t="str">
        <f>IF(ISERROR(S73/Q73),"-",S73/Q73)</f>
        <v>-</v>
      </c>
      <c r="U73" s="783"/>
      <c r="V73" s="414">
        <f t="shared" si="41"/>
        <v>0</v>
      </c>
      <c r="W73" s="415">
        <f t="shared" si="42"/>
        <v>0</v>
      </c>
      <c r="X73" s="415">
        <f t="shared" si="37"/>
        <v>0</v>
      </c>
      <c r="Y73" s="266" t="str">
        <f t="shared" si="47"/>
        <v>-</v>
      </c>
      <c r="Z73" s="171"/>
      <c r="AA73" s="414">
        <v>0</v>
      </c>
      <c r="AB73" s="415">
        <f t="shared" si="49"/>
        <v>0</v>
      </c>
      <c r="AC73" s="196" t="str">
        <f t="shared" si="48"/>
        <v>-</v>
      </c>
      <c r="AD73" s="171"/>
      <c r="AE73" s="1178"/>
    </row>
    <row r="74" spans="1:31" x14ac:dyDescent="0.3">
      <c r="A74" s="476" t="s">
        <v>101</v>
      </c>
      <c r="B74" s="397">
        <v>5335</v>
      </c>
      <c r="C74" s="416">
        <v>2939.62</v>
      </c>
      <c r="D74" s="567">
        <f t="shared" si="29"/>
        <v>-2395.38</v>
      </c>
      <c r="E74" s="196">
        <f t="shared" si="43"/>
        <v>-0.44899343955014059</v>
      </c>
      <c r="F74" s="171"/>
      <c r="G74" s="414">
        <v>5335</v>
      </c>
      <c r="H74" s="415">
        <v>3798.67</v>
      </c>
      <c r="I74" s="415">
        <f t="shared" si="31"/>
        <v>-1536.33</v>
      </c>
      <c r="J74" s="197">
        <f t="shared" si="44"/>
        <v>-0.28797188378631677</v>
      </c>
      <c r="K74" s="171"/>
      <c r="L74" s="416">
        <v>5335</v>
      </c>
      <c r="M74" s="604">
        <v>4144.9799999999996</v>
      </c>
      <c r="N74" s="567">
        <f t="shared" si="33"/>
        <v>-1190.0200000000004</v>
      </c>
      <c r="O74" s="266">
        <f>IF(ISERROR(N74/L74),"-",N74/L74)</f>
        <v>-0.22305904404873486</v>
      </c>
      <c r="P74" s="171"/>
      <c r="Q74" s="601">
        <v>5335</v>
      </c>
      <c r="R74" s="602">
        <v>4661.4799999999996</v>
      </c>
      <c r="S74" s="415">
        <f t="shared" si="35"/>
        <v>-673.52000000000044</v>
      </c>
      <c r="T74" s="197">
        <f>IF(ISERROR(S74/Q74),"-",S74/Q74)</f>
        <v>-0.12624554826616691</v>
      </c>
      <c r="U74" s="783"/>
      <c r="V74" s="414">
        <f t="shared" si="41"/>
        <v>21340</v>
      </c>
      <c r="W74" s="415">
        <f t="shared" si="42"/>
        <v>15544.75</v>
      </c>
      <c r="X74" s="415">
        <f t="shared" si="37"/>
        <v>-5795.25</v>
      </c>
      <c r="Y74" s="266">
        <f t="shared" si="47"/>
        <v>-0.27156747891283972</v>
      </c>
      <c r="Z74" s="171"/>
      <c r="AA74" s="414">
        <v>21340</v>
      </c>
      <c r="AB74" s="415">
        <f t="shared" si="49"/>
        <v>5795.25</v>
      </c>
      <c r="AC74" s="196">
        <f t="shared" si="48"/>
        <v>0.27156747891283972</v>
      </c>
      <c r="AD74" s="171"/>
      <c r="AE74" s="1178"/>
    </row>
    <row r="75" spans="1:31" x14ac:dyDescent="0.3">
      <c r="A75" s="496" t="s">
        <v>175</v>
      </c>
      <c r="B75" s="397">
        <v>0</v>
      </c>
      <c r="C75" s="416">
        <v>0</v>
      </c>
      <c r="D75" s="567">
        <f t="shared" si="29"/>
        <v>0</v>
      </c>
      <c r="E75" s="235" t="str">
        <f t="shared" si="43"/>
        <v>-</v>
      </c>
      <c r="F75" s="171"/>
      <c r="G75" s="442">
        <v>0</v>
      </c>
      <c r="H75" s="427">
        <v>0</v>
      </c>
      <c r="I75" s="415">
        <f t="shared" si="31"/>
        <v>0</v>
      </c>
      <c r="J75" s="208" t="str">
        <f t="shared" si="44"/>
        <v>-</v>
      </c>
      <c r="K75" s="171"/>
      <c r="L75" s="418">
        <v>0</v>
      </c>
      <c r="M75" s="892">
        <v>0</v>
      </c>
      <c r="N75" s="567">
        <f t="shared" si="33"/>
        <v>0</v>
      </c>
      <c r="O75" s="233" t="str">
        <f>IF(ISERROR(N75/L75),"-",N75/L75)</f>
        <v>-</v>
      </c>
      <c r="P75" s="171"/>
      <c r="Q75" s="618">
        <v>0</v>
      </c>
      <c r="R75" s="602">
        <v>0</v>
      </c>
      <c r="S75" s="415">
        <f t="shared" si="35"/>
        <v>0</v>
      </c>
      <c r="T75" s="208" t="str">
        <f>IF(ISERROR(S75/Q75),"-",S75/Q75)</f>
        <v>-</v>
      </c>
      <c r="U75" s="783"/>
      <c r="V75" s="414">
        <f t="shared" si="41"/>
        <v>0</v>
      </c>
      <c r="W75" s="415">
        <f t="shared" si="42"/>
        <v>0</v>
      </c>
      <c r="X75" s="415">
        <f t="shared" si="37"/>
        <v>0</v>
      </c>
      <c r="Y75" s="498" t="str">
        <f t="shared" si="47"/>
        <v>-</v>
      </c>
      <c r="Z75" s="171"/>
      <c r="AA75" s="414">
        <v>0</v>
      </c>
      <c r="AB75" s="441">
        <f t="shared" si="49"/>
        <v>0</v>
      </c>
      <c r="AC75" s="498" t="str">
        <f t="shared" si="48"/>
        <v>-</v>
      </c>
      <c r="AD75" s="178"/>
      <c r="AE75" s="1178"/>
    </row>
    <row r="76" spans="1:31" x14ac:dyDescent="0.3">
      <c r="A76" s="477" t="s">
        <v>102</v>
      </c>
      <c r="B76" s="1063">
        <f>SUM(B43:B75)</f>
        <v>2898167.75</v>
      </c>
      <c r="C76" s="1232">
        <f>SUM(C43:C75)</f>
        <v>2317452.1700000004</v>
      </c>
      <c r="D76" s="1305">
        <f>SUM(D43:D75)</f>
        <v>-580715.57999999984</v>
      </c>
      <c r="E76" s="1303">
        <f t="shared" si="43"/>
        <v>-0.20037334967929302</v>
      </c>
      <c r="F76" s="178"/>
      <c r="G76" s="1046">
        <f>SUM(G43:G75)</f>
        <v>2898167.75</v>
      </c>
      <c r="H76" s="1305">
        <f>SUM(H43:H75)</f>
        <v>2330987.65</v>
      </c>
      <c r="I76" s="1470">
        <f>SUM(I43:I75)</f>
        <v>-567180.10000000009</v>
      </c>
      <c r="J76" s="1303">
        <f>IF(ISERROR(I76/G76),"-",I76/G76)</f>
        <v>-0.19570299200244709</v>
      </c>
      <c r="K76" s="178"/>
      <c r="L76" s="419">
        <f>SUM(L43:L75)</f>
        <v>2898167.75</v>
      </c>
      <c r="M76" s="420">
        <f>SUM(M43:M75)</f>
        <v>3126708.1999999997</v>
      </c>
      <c r="N76" s="433">
        <f>SUM(N43:N75)</f>
        <v>228540.44999999987</v>
      </c>
      <c r="O76" s="211">
        <f>IF(ISERROR(N76/L76),"-",N76/L76)</f>
        <v>7.8856874313089659E-2</v>
      </c>
      <c r="P76" s="178"/>
      <c r="Q76" s="1006">
        <f>SUM(Q43:Q75)</f>
        <v>2898167.75</v>
      </c>
      <c r="R76" s="565">
        <f>SUM(R43:R75)</f>
        <v>2883648.28</v>
      </c>
      <c r="S76" s="433">
        <f>SUM(S43:S75)</f>
        <v>-14519.469999999961</v>
      </c>
      <c r="T76" s="211">
        <f>IF(ISERROR(S76/Q76),"-",S76/Q76)</f>
        <v>-5.0098790865366442E-3</v>
      </c>
      <c r="U76" s="784"/>
      <c r="V76" s="1046">
        <f>SUM(V43:V75)</f>
        <v>11592671</v>
      </c>
      <c r="W76" s="1305">
        <f>SUM(W43:W75)</f>
        <v>10658796.300000001</v>
      </c>
      <c r="X76" s="1305">
        <f>SUM(X43:X75)</f>
        <v>-933874.69999999867</v>
      </c>
      <c r="Y76" s="1303">
        <f t="shared" si="47"/>
        <v>-8.055733661379666E-2</v>
      </c>
      <c r="Z76" s="178"/>
      <c r="AA76" s="432">
        <f>SUM(AA43:AA75)</f>
        <v>11598095</v>
      </c>
      <c r="AB76" s="433">
        <f>SUM(AB43:AB75)</f>
        <v>939298.69999999867</v>
      </c>
      <c r="AC76" s="211">
        <f t="shared" si="48"/>
        <v>8.0987325935854004E-2</v>
      </c>
      <c r="AD76" s="160"/>
      <c r="AE76" s="1181"/>
    </row>
    <row r="77" spans="1:31" x14ac:dyDescent="0.3">
      <c r="A77" s="1338"/>
      <c r="B77" s="958"/>
      <c r="C77" s="1086"/>
      <c r="D77" s="1086"/>
      <c r="E77" s="1087"/>
      <c r="F77" s="160"/>
      <c r="G77" s="1064"/>
      <c r="H77" s="1233"/>
      <c r="I77" s="1471"/>
      <c r="J77" s="1304"/>
      <c r="K77" s="160"/>
      <c r="L77" s="448"/>
      <c r="M77" s="449"/>
      <c r="N77" s="449"/>
      <c r="O77" s="257"/>
      <c r="P77" s="160"/>
      <c r="Q77" s="450"/>
      <c r="R77" s="451"/>
      <c r="S77" s="451"/>
      <c r="T77" s="258"/>
      <c r="U77" s="781"/>
      <c r="V77" s="1069"/>
      <c r="W77" s="1393"/>
      <c r="X77" s="1086"/>
      <c r="Y77" s="1088"/>
      <c r="Z77" s="160"/>
      <c r="AA77" s="452"/>
      <c r="AB77" s="449"/>
      <c r="AC77" s="257"/>
      <c r="AD77" s="230"/>
      <c r="AE77" s="1178"/>
    </row>
    <row r="78" spans="1:31" x14ac:dyDescent="0.3">
      <c r="A78" s="1467" t="s">
        <v>103</v>
      </c>
      <c r="B78" s="1063">
        <f>B41+B76+B77</f>
        <v>3048315.5550000002</v>
      </c>
      <c r="C78" s="1232">
        <f>C41+C76+C77</f>
        <v>2450844.3700000006</v>
      </c>
      <c r="D78" s="1232">
        <f>D41+D76+D77</f>
        <v>-597471.18499999982</v>
      </c>
      <c r="E78" s="1303">
        <f>IF(ISERROR(D78/B78),"-",D78/B78)</f>
        <v>-0.19600043834700695</v>
      </c>
      <c r="F78" s="230"/>
      <c r="G78" s="1046">
        <f>G41+G76+G77</f>
        <v>3048315.5550000002</v>
      </c>
      <c r="H78" s="1232">
        <f>H41+H76+H77</f>
        <v>2429761.44</v>
      </c>
      <c r="I78" s="1472">
        <f>I41+I76+I77</f>
        <v>-618554.11500000011</v>
      </c>
      <c r="J78" s="1303">
        <f>IF(ISERROR(I78/G78),"-",I78/G78)</f>
        <v>-0.2029166941019005</v>
      </c>
      <c r="K78" s="230"/>
      <c r="L78" s="432">
        <f>L41+L76+L77</f>
        <v>3048315.5550000002</v>
      </c>
      <c r="M78" s="433">
        <f>M41+M76+M77</f>
        <v>3285846.7399999998</v>
      </c>
      <c r="N78" s="433">
        <f>N41+N76+N77</f>
        <v>237531.18499999985</v>
      </c>
      <c r="O78" s="211">
        <f>IF(ISERROR(N78/L78),"-",N78/L78)</f>
        <v>7.792211164306441E-2</v>
      </c>
      <c r="P78" s="230"/>
      <c r="Q78" s="432">
        <f>Q41+Q76+Q77</f>
        <v>3048315.5550000002</v>
      </c>
      <c r="R78" s="433">
        <f>R41+R76+R77</f>
        <v>3040679.67</v>
      </c>
      <c r="S78" s="433">
        <f>S41+S76+S77</f>
        <v>-7635.8849999999438</v>
      </c>
      <c r="T78" s="211">
        <f>IF(ISERROR(S78/Q78),"-",S78/Q78)</f>
        <v>-2.5049522801125958E-3</v>
      </c>
      <c r="U78" s="785"/>
      <c r="V78" s="1046">
        <f>V41+V76+V77</f>
        <v>12193262.220000001</v>
      </c>
      <c r="W78" s="1232">
        <f>W41+W76+W77</f>
        <v>11207132.220000001</v>
      </c>
      <c r="X78" s="1232">
        <f>X41+X76+X77</f>
        <v>-986129.9999999986</v>
      </c>
      <c r="Y78" s="1303">
        <f>IF(ISERROR(X78/V78),"-",X78/V78)</f>
        <v>-8.0874993271488796E-2</v>
      </c>
      <c r="Z78" s="230"/>
      <c r="AA78" s="1461">
        <f>AA41+AA76</f>
        <v>12198686.220000001</v>
      </c>
      <c r="AB78" s="754">
        <f>AB41+AB76+AB77</f>
        <v>991553.9999999986</v>
      </c>
      <c r="AC78" s="211">
        <f>IF(ISERROR(AB78/AA78),"-",AB78/AA78)</f>
        <v>8.1283671218161602E-2</v>
      </c>
      <c r="AD78" s="160"/>
      <c r="AE78" s="1181"/>
    </row>
    <row r="79" spans="1:31" x14ac:dyDescent="0.3">
      <c r="A79" s="1468" t="s">
        <v>166</v>
      </c>
      <c r="B79" s="958">
        <f>B25-B78</f>
        <v>-166434.49123870023</v>
      </c>
      <c r="C79" s="1086">
        <f>C25-C78</f>
        <v>476618.92999999924</v>
      </c>
      <c r="D79" s="1086">
        <f>D25-D78</f>
        <v>643053.42123869958</v>
      </c>
      <c r="E79" s="753"/>
      <c r="F79" s="262">
        <f>F25-F78</f>
        <v>0</v>
      </c>
      <c r="G79" s="752">
        <f>G25-G78</f>
        <v>-166434.49123870023</v>
      </c>
      <c r="H79" s="1086">
        <f>H25-H78</f>
        <v>476926.28000000026</v>
      </c>
      <c r="I79" s="1460">
        <f>I25-I78</f>
        <v>643360.77123870014</v>
      </c>
      <c r="J79" s="1088"/>
      <c r="K79" s="756">
        <f>K25-K78</f>
        <v>0</v>
      </c>
      <c r="L79" s="448">
        <f>L25-L78</f>
        <v>-166434.49123870023</v>
      </c>
      <c r="M79" s="448">
        <f>M25-M78</f>
        <v>-344850.56000000006</v>
      </c>
      <c r="N79" s="448">
        <f>N25-N78</f>
        <v>-178416.06876130009</v>
      </c>
      <c r="O79" s="262"/>
      <c r="P79" s="262">
        <f>P25-P78</f>
        <v>0</v>
      </c>
      <c r="Q79" s="448">
        <f>Q25-Q78</f>
        <v>-166434.49123870023</v>
      </c>
      <c r="R79" s="448">
        <f>R25-R78</f>
        <v>195211.25</v>
      </c>
      <c r="S79" s="448">
        <f>S25-S78</f>
        <v>361645.74123869982</v>
      </c>
      <c r="T79" s="262"/>
      <c r="U79" s="726">
        <f>U25-U78</f>
        <v>0</v>
      </c>
      <c r="V79" s="752">
        <f>V25-V78</f>
        <v>-665737.9649548009</v>
      </c>
      <c r="W79" s="1086">
        <f>W25-W78</f>
        <v>803905.90000000037</v>
      </c>
      <c r="X79" s="1086">
        <f>X25-X78</f>
        <v>1469643.8649547989</v>
      </c>
      <c r="Y79" s="756"/>
      <c r="Z79" s="727">
        <f>Z25-Z78</f>
        <v>0</v>
      </c>
      <c r="AA79" s="1462">
        <f>AA25-AA78</f>
        <v>-791161.9649548009</v>
      </c>
      <c r="AB79" s="1459">
        <f>AB25-AB78</f>
        <v>-1595067.8649547989</v>
      </c>
      <c r="AC79" s="1088"/>
      <c r="AD79" s="160"/>
      <c r="AE79" s="1178"/>
    </row>
    <row r="80" spans="1:31" x14ac:dyDescent="0.3">
      <c r="A80" s="1469" t="s">
        <v>167</v>
      </c>
      <c r="B80" s="958"/>
      <c r="C80" s="1086"/>
      <c r="D80" s="1086">
        <f>C80-B80</f>
        <v>0</v>
      </c>
      <c r="E80" s="1087"/>
      <c r="F80" s="160"/>
      <c r="G80" s="1064"/>
      <c r="H80" s="1233"/>
      <c r="I80" s="1460">
        <f>H80-G80</f>
        <v>0</v>
      </c>
      <c r="J80" s="1304"/>
      <c r="K80" s="160"/>
      <c r="L80" s="448"/>
      <c r="M80" s="449"/>
      <c r="N80" s="449">
        <f>M80-L80</f>
        <v>0</v>
      </c>
      <c r="O80" s="257"/>
      <c r="P80" s="160"/>
      <c r="Q80" s="450"/>
      <c r="R80" s="451"/>
      <c r="S80" s="449">
        <f>R80-Q80</f>
        <v>0</v>
      </c>
      <c r="T80" s="264"/>
      <c r="U80" s="781"/>
      <c r="V80" s="1069"/>
      <c r="W80" s="1393"/>
      <c r="X80" s="1086"/>
      <c r="Y80" s="1088"/>
      <c r="Z80" s="160"/>
      <c r="AA80" s="1463">
        <v>35000</v>
      </c>
      <c r="AB80" s="1460"/>
      <c r="AC80" s="1088"/>
      <c r="AD80" s="160"/>
      <c r="AE80" s="1181"/>
    </row>
    <row r="81" spans="1:31" x14ac:dyDescent="0.3">
      <c r="A81" s="1468" t="s">
        <v>168</v>
      </c>
      <c r="B81" s="958">
        <f>B79-B80</f>
        <v>-166434.49123870023</v>
      </c>
      <c r="C81" s="1086">
        <f t="shared" ref="C81:AA81" si="50">C79-C80</f>
        <v>476618.92999999924</v>
      </c>
      <c r="D81" s="1086">
        <f t="shared" si="50"/>
        <v>643053.42123869958</v>
      </c>
      <c r="E81" s="753">
        <f>E79-E80</f>
        <v>0</v>
      </c>
      <c r="F81" s="262">
        <f t="shared" si="50"/>
        <v>0</v>
      </c>
      <c r="G81" s="752">
        <f t="shared" si="50"/>
        <v>-166434.49123870023</v>
      </c>
      <c r="H81" s="1086">
        <f t="shared" si="50"/>
        <v>476926.28000000026</v>
      </c>
      <c r="I81" s="1460">
        <f t="shared" si="50"/>
        <v>643360.77123870014</v>
      </c>
      <c r="J81" s="1088">
        <f>J79-J80</f>
        <v>0</v>
      </c>
      <c r="K81" s="756">
        <f t="shared" si="50"/>
        <v>0</v>
      </c>
      <c r="L81" s="448">
        <f t="shared" si="50"/>
        <v>-166434.49123870023</v>
      </c>
      <c r="M81" s="448">
        <f t="shared" si="50"/>
        <v>-344850.56000000006</v>
      </c>
      <c r="N81" s="448">
        <f t="shared" si="50"/>
        <v>-178416.06876130009</v>
      </c>
      <c r="O81" s="262">
        <f t="shared" si="50"/>
        <v>0</v>
      </c>
      <c r="P81" s="262">
        <f t="shared" si="50"/>
        <v>0</v>
      </c>
      <c r="Q81" s="448">
        <f t="shared" si="50"/>
        <v>-166434.49123870023</v>
      </c>
      <c r="R81" s="448">
        <f t="shared" si="50"/>
        <v>195211.25</v>
      </c>
      <c r="S81" s="448">
        <f t="shared" si="50"/>
        <v>361645.74123869982</v>
      </c>
      <c r="T81" s="262">
        <f t="shared" si="50"/>
        <v>0</v>
      </c>
      <c r="U81" s="726">
        <f t="shared" si="50"/>
        <v>0</v>
      </c>
      <c r="V81" s="752">
        <f>V79-V80</f>
        <v>-665737.9649548009</v>
      </c>
      <c r="W81" s="1086">
        <f t="shared" si="50"/>
        <v>803905.90000000037</v>
      </c>
      <c r="X81" s="1086">
        <f t="shared" si="50"/>
        <v>1469643.8649547989</v>
      </c>
      <c r="Y81" s="756">
        <f t="shared" si="50"/>
        <v>0</v>
      </c>
      <c r="Z81" s="727">
        <f t="shared" si="50"/>
        <v>0</v>
      </c>
      <c r="AA81" s="959">
        <f t="shared" si="50"/>
        <v>-826161.9649548009</v>
      </c>
      <c r="AB81" s="1460">
        <f>AB79-AB80</f>
        <v>-1595067.8649547989</v>
      </c>
      <c r="AC81" s="1088">
        <f>AC79-AC80</f>
        <v>0</v>
      </c>
      <c r="AD81" s="230"/>
      <c r="AE81" s="1178"/>
    </row>
    <row r="82" spans="1:31" ht="19.5" thickBot="1" x14ac:dyDescent="0.35">
      <c r="A82" s="1474" t="s">
        <v>104</v>
      </c>
      <c r="B82" s="1475"/>
      <c r="C82" s="1476"/>
      <c r="D82" s="1476">
        <f>B82-C82</f>
        <v>0</v>
      </c>
      <c r="E82" s="1477" t="str">
        <f>IF(ISERROR(D82/B82),"-",D82/B82)</f>
        <v>-</v>
      </c>
      <c r="F82" s="1478"/>
      <c r="G82" s="1479"/>
      <c r="H82" s="1480"/>
      <c r="I82" s="1481">
        <f>G82-H82</f>
        <v>0</v>
      </c>
      <c r="J82" s="1482" t="str">
        <f>IF(ISERROR(I82/G82),"-",I82/G82)</f>
        <v>-</v>
      </c>
      <c r="K82" s="1478"/>
      <c r="L82" s="1346"/>
      <c r="M82" s="1347"/>
      <c r="N82" s="1347">
        <f>L82-M82</f>
        <v>0</v>
      </c>
      <c r="O82" s="1483" t="str">
        <f>IF(ISERROR(N82/L82),"-",N82/L82)</f>
        <v>-</v>
      </c>
      <c r="P82" s="1478"/>
      <c r="Q82" s="1484"/>
      <c r="R82" s="1485"/>
      <c r="S82" s="1485">
        <f>Q82-R82</f>
        <v>0</v>
      </c>
      <c r="T82" s="1486" t="str">
        <f>IF(ISERROR(S82/Q82),"-",S82/Q82)</f>
        <v>-</v>
      </c>
      <c r="U82" s="1487"/>
      <c r="V82" s="1494">
        <f>B82+G82+L82+Q82</f>
        <v>0</v>
      </c>
      <c r="W82" s="1476">
        <f>C82+H82+M82+R82</f>
        <v>0</v>
      </c>
      <c r="X82" s="1476">
        <f>V82-W82</f>
        <v>0</v>
      </c>
      <c r="Y82" s="1490" t="str">
        <f>IF(ISERROR(X82/V82),"-",X82/V82)</f>
        <v>-</v>
      </c>
      <c r="Z82" s="1478"/>
      <c r="AA82" s="1488">
        <f>G82+L82+Q82+V82</f>
        <v>0</v>
      </c>
      <c r="AB82" s="1489">
        <f>AA82-W82</f>
        <v>0</v>
      </c>
      <c r="AC82" s="1490" t="str">
        <f>IF(ISERROR(AB82/AA82),"-",AB82/AA82)</f>
        <v>-</v>
      </c>
      <c r="AD82" s="1366"/>
      <c r="AE82" s="1178"/>
    </row>
    <row r="83" spans="1:31" ht="19.5" thickBot="1" x14ac:dyDescent="0.35">
      <c r="A83" s="1495" t="s">
        <v>105</v>
      </c>
      <c r="B83" s="1496">
        <f>B81-B82</f>
        <v>-166434.49123870023</v>
      </c>
      <c r="C83" s="1497">
        <f>C81-C82</f>
        <v>476618.92999999924</v>
      </c>
      <c r="D83" s="1497">
        <f>C83-B83</f>
        <v>643053.42123869946</v>
      </c>
      <c r="E83" s="1498">
        <f>IF(ISERROR(D83/B83),"-",D83/B83)</f>
        <v>-3.8637028686345589</v>
      </c>
      <c r="F83" s="1499"/>
      <c r="G83" s="1500">
        <f>G81-G82</f>
        <v>-166434.49123870023</v>
      </c>
      <c r="H83" s="1497">
        <f>H81-H82</f>
        <v>476926.28000000026</v>
      </c>
      <c r="I83" s="1501">
        <f>H83-G83</f>
        <v>643360.77123870049</v>
      </c>
      <c r="J83" s="1502">
        <f>IF(ISERROR(I83/G83),"-",I83/G83)</f>
        <v>-3.86554954114645</v>
      </c>
      <c r="K83" s="1499"/>
      <c r="L83" s="1503">
        <f>L81-L82</f>
        <v>-166434.49123870023</v>
      </c>
      <c r="M83" s="1503">
        <f>M81-M82</f>
        <v>-344850.56000000006</v>
      </c>
      <c r="N83" s="1504">
        <f>M83-L83</f>
        <v>-178416.06876129983</v>
      </c>
      <c r="O83" s="1502">
        <f>IF(ISERROR(N83/L83),"-",N83/L83)</f>
        <v>1.0719897506425855</v>
      </c>
      <c r="P83" s="1499"/>
      <c r="Q83" s="1503">
        <f>Q81-Q82</f>
        <v>-166434.49123870023</v>
      </c>
      <c r="R83" s="1503">
        <f>R81-R82</f>
        <v>195211.25</v>
      </c>
      <c r="S83" s="1504">
        <f>R83-Q83</f>
        <v>361645.74123870023</v>
      </c>
      <c r="T83" s="1502">
        <f>IF(ISERROR(S83/Q83),"-",S83/Q83)</f>
        <v>-2.1729014133256079</v>
      </c>
      <c r="U83" s="1505"/>
      <c r="V83" s="1506">
        <f>V81-V82</f>
        <v>-665737.9649548009</v>
      </c>
      <c r="W83" s="1507">
        <f>W81-W82</f>
        <v>803905.90000000037</v>
      </c>
      <c r="X83" s="1497">
        <f>W83-V83</f>
        <v>1469643.8649548013</v>
      </c>
      <c r="Y83" s="1508">
        <f>IF(ISERROR(X83/V83),"-",X83/V83)</f>
        <v>-2.2075410181160091</v>
      </c>
      <c r="Z83" s="1499"/>
      <c r="AA83" s="1509">
        <f>AA81-AA82</f>
        <v>-826161.9649548009</v>
      </c>
      <c r="AB83" s="1510">
        <f>AB81-AB82</f>
        <v>-1595067.8649547989</v>
      </c>
      <c r="AC83" s="1511">
        <f>IF(ISERROR(AB83/AA83),"-",AB83/AA83)</f>
        <v>1.9306963193858298</v>
      </c>
      <c r="AD83" s="1366"/>
      <c r="AE83" s="707"/>
    </row>
  </sheetData>
  <sheetProtection algorithmName="SHA-512" hashValue="F4Ubv6cMxyQwkx28tferjvKzFL8WsPjLkahXdXs0ir3k1/ypO54jIUlSKyxKz+5C1227PQXcr/9s7XujZNLltw==" saltValue="iqTBlmd17NVDz6fzM3Yw9A==" spinCount="100000" sheet="1" objects="1" scenarios="1"/>
  <mergeCells count="13"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conditionalFormatting sqref="E55">
    <cfRule type="cellIs" dxfId="3" priority="1" stopIfTrue="1" operator="equal">
      <formula>""""""</formula>
    </cfRule>
  </conditionalFormatting>
  <pageMargins left="0.7" right="0.7" top="0.75" bottom="0.75" header="0.3" footer="0.3"/>
  <pageSetup scale="44" fitToWidth="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  <pageSetUpPr fitToPage="1"/>
  </sheetPr>
  <dimension ref="A1:F76"/>
  <sheetViews>
    <sheetView zoomScale="80" zoomScaleNormal="80" workbookViewId="0">
      <selection activeCell="Q45" sqref="Q45"/>
    </sheetView>
  </sheetViews>
  <sheetFormatPr defaultColWidth="8.85546875" defaultRowHeight="15.75" customHeight="1" x14ac:dyDescent="0.3"/>
  <cols>
    <col min="1" max="1" width="49" style="46" customWidth="1"/>
    <col min="2" max="2" width="14.5703125" style="379" customWidth="1"/>
    <col min="3" max="3" width="16.85546875" style="379" customWidth="1"/>
    <col min="4" max="4" width="18.140625" style="379" customWidth="1"/>
    <col min="5" max="5" width="17" style="379" customWidth="1"/>
    <col min="6" max="6" width="17.42578125" style="379" customWidth="1"/>
    <col min="7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8.75" customHeight="1" x14ac:dyDescent="0.3">
      <c r="A2" s="47"/>
      <c r="B2" s="327"/>
      <c r="C2" s="327"/>
      <c r="D2" s="327"/>
      <c r="E2" s="327"/>
      <c r="F2" s="327"/>
    </row>
    <row r="3" spans="1:6" s="49" customFormat="1" ht="18.75" customHeight="1" x14ac:dyDescent="0.3">
      <c r="A3" s="1767" t="s">
        <v>185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328"/>
      <c r="C8" s="329"/>
      <c r="D8" s="328"/>
      <c r="E8" s="329"/>
      <c r="F8" s="328"/>
    </row>
    <row r="9" spans="1:6" ht="17.45" customHeight="1" x14ac:dyDescent="0.3">
      <c r="A9" s="284"/>
      <c r="B9" s="330" t="s">
        <v>160</v>
      </c>
      <c r="C9" s="331" t="s">
        <v>161</v>
      </c>
      <c r="D9" s="330" t="s">
        <v>162</v>
      </c>
      <c r="E9" s="331" t="s">
        <v>163</v>
      </c>
      <c r="F9" s="330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332" t="s">
        <v>107</v>
      </c>
      <c r="C11" s="334" t="s">
        <v>107</v>
      </c>
      <c r="D11" s="332" t="s">
        <v>107</v>
      </c>
      <c r="E11" s="334" t="s">
        <v>107</v>
      </c>
      <c r="F11" s="332" t="s">
        <v>107</v>
      </c>
    </row>
    <row r="12" spans="1:6" ht="15" customHeight="1" x14ac:dyDescent="0.3">
      <c r="A12" s="291" t="s">
        <v>4</v>
      </c>
      <c r="B12" s="339"/>
      <c r="C12" s="338"/>
      <c r="D12" s="339"/>
      <c r="E12" s="338"/>
      <c r="F12" s="339"/>
    </row>
    <row r="13" spans="1:6" ht="15" customHeight="1" x14ac:dyDescent="0.3">
      <c r="A13" s="294" t="s">
        <v>5</v>
      </c>
      <c r="B13" s="341"/>
      <c r="C13" s="343"/>
      <c r="D13" s="341"/>
      <c r="E13" s="343"/>
      <c r="F13" s="341"/>
    </row>
    <row r="14" spans="1:6" ht="15" customHeight="1" x14ac:dyDescent="0.3">
      <c r="A14" s="296" t="s">
        <v>6</v>
      </c>
      <c r="B14" s="802">
        <v>22112930.106490001</v>
      </c>
      <c r="C14" s="845">
        <v>24250369.082936004</v>
      </c>
      <c r="D14" s="802">
        <v>24654439.468020003</v>
      </c>
      <c r="E14" s="802">
        <v>24295506.460962001</v>
      </c>
      <c r="F14" s="802">
        <v>24000928.585555993</v>
      </c>
    </row>
    <row r="15" spans="1:6" ht="15" customHeight="1" x14ac:dyDescent="0.3">
      <c r="A15" s="297" t="s">
        <v>7</v>
      </c>
      <c r="B15" s="802">
        <v>0</v>
      </c>
      <c r="C15" s="845">
        <v>0</v>
      </c>
      <c r="D15" s="802">
        <v>0</v>
      </c>
      <c r="E15" s="802">
        <v>0</v>
      </c>
      <c r="F15" s="802">
        <v>0</v>
      </c>
    </row>
    <row r="16" spans="1:6" ht="15" customHeight="1" x14ac:dyDescent="0.3">
      <c r="A16" s="297" t="s">
        <v>8</v>
      </c>
      <c r="B16" s="802">
        <v>232146.984196</v>
      </c>
      <c r="C16" s="845">
        <v>175405.72205000001</v>
      </c>
      <c r="D16" s="802">
        <v>139361.745046</v>
      </c>
      <c r="E16" s="802">
        <v>141941.26112000001</v>
      </c>
      <c r="F16" s="802">
        <v>235011.207532</v>
      </c>
    </row>
    <row r="17" spans="1:6" ht="15" customHeight="1" x14ac:dyDescent="0.3">
      <c r="A17" s="297" t="s">
        <v>9</v>
      </c>
      <c r="B17" s="802">
        <v>0</v>
      </c>
      <c r="C17" s="845">
        <v>0</v>
      </c>
      <c r="D17" s="802">
        <v>0</v>
      </c>
      <c r="E17" s="802">
        <v>0</v>
      </c>
      <c r="F17" s="802">
        <v>0</v>
      </c>
    </row>
    <row r="18" spans="1:6" ht="15" customHeight="1" x14ac:dyDescent="0.3">
      <c r="A18" s="297" t="s">
        <v>10</v>
      </c>
      <c r="B18" s="802">
        <v>80752.291427999997</v>
      </c>
      <c r="C18" s="845">
        <v>25359.322874000005</v>
      </c>
      <c r="D18" s="802">
        <v>20865.324524000007</v>
      </c>
      <c r="E18" s="802">
        <v>19170.71012600002</v>
      </c>
      <c r="F18" s="802">
        <v>55641.922756000029</v>
      </c>
    </row>
    <row r="19" spans="1:6" ht="15" customHeight="1" x14ac:dyDescent="0.3">
      <c r="A19" s="298" t="s">
        <v>11</v>
      </c>
      <c r="B19" s="802">
        <v>0</v>
      </c>
      <c r="C19" s="1091">
        <v>0</v>
      </c>
      <c r="D19" s="1090">
        <v>0</v>
      </c>
      <c r="E19" s="802">
        <v>0</v>
      </c>
      <c r="F19" s="802">
        <v>0</v>
      </c>
    </row>
    <row r="20" spans="1:6" ht="15" customHeight="1" x14ac:dyDescent="0.3">
      <c r="A20" s="299" t="s">
        <v>12</v>
      </c>
      <c r="B20" s="500">
        <f>SUM(B14:B19)</f>
        <v>22425829.382114001</v>
      </c>
      <c r="C20" s="500">
        <f>SUM(C14:C19)</f>
        <v>24451134.127860002</v>
      </c>
      <c r="D20" s="500">
        <f>SUM(D14:D19)</f>
        <v>24814666.537590005</v>
      </c>
      <c r="E20" s="500">
        <f>SUM(E14:E19)</f>
        <v>24456618.432208002</v>
      </c>
      <c r="F20" s="500">
        <f>SUM(F14:F19)</f>
        <v>24291581.715843994</v>
      </c>
    </row>
    <row r="21" spans="1:6" ht="15" customHeight="1" x14ac:dyDescent="0.3">
      <c r="A21" s="300"/>
      <c r="B21" s="588"/>
      <c r="C21" s="501"/>
      <c r="D21" s="348"/>
      <c r="E21" s="348"/>
      <c r="F21" s="802"/>
    </row>
    <row r="22" spans="1:6" ht="15" customHeight="1" x14ac:dyDescent="0.3">
      <c r="A22" s="301" t="s">
        <v>13</v>
      </c>
      <c r="B22" s="587"/>
      <c r="C22" s="499"/>
      <c r="D22" s="341"/>
      <c r="E22" s="341"/>
      <c r="F22" s="341"/>
    </row>
    <row r="23" spans="1:6" ht="15" customHeight="1" x14ac:dyDescent="0.3">
      <c r="A23" s="297" t="s">
        <v>14</v>
      </c>
      <c r="B23" s="802">
        <v>0</v>
      </c>
      <c r="C23" s="845">
        <v>0</v>
      </c>
      <c r="D23" s="802">
        <v>0</v>
      </c>
      <c r="E23" s="802">
        <v>0</v>
      </c>
      <c r="F23" s="802">
        <v>0</v>
      </c>
    </row>
    <row r="24" spans="1:6" ht="15" customHeight="1" x14ac:dyDescent="0.3">
      <c r="A24" s="297" t="s">
        <v>15</v>
      </c>
      <c r="B24" s="802">
        <v>0</v>
      </c>
      <c r="C24" s="845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45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0</v>
      </c>
      <c r="C26" s="845">
        <v>0</v>
      </c>
      <c r="D26" s="802">
        <v>0</v>
      </c>
      <c r="E26" s="802">
        <v>0</v>
      </c>
      <c r="F26" s="802">
        <v>0</v>
      </c>
    </row>
    <row r="27" spans="1:6" ht="15" customHeight="1" x14ac:dyDescent="0.3">
      <c r="A27" s="297" t="s">
        <v>119</v>
      </c>
      <c r="B27" s="802">
        <v>0</v>
      </c>
      <c r="C27" s="845">
        <v>0</v>
      </c>
      <c r="D27" s="802">
        <v>0</v>
      </c>
      <c r="E27" s="802">
        <v>0</v>
      </c>
      <c r="F27" s="802">
        <v>0</v>
      </c>
    </row>
    <row r="28" spans="1:6" ht="15" customHeight="1" x14ac:dyDescent="0.3">
      <c r="A28" s="297" t="s">
        <v>118</v>
      </c>
      <c r="B28" s="802">
        <v>0</v>
      </c>
      <c r="C28" s="845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1091">
        <v>0</v>
      </c>
      <c r="D29" s="1090">
        <v>0</v>
      </c>
      <c r="E29" s="802">
        <v>0</v>
      </c>
      <c r="F29" s="802">
        <v>0</v>
      </c>
    </row>
    <row r="30" spans="1:6" ht="15" customHeight="1" x14ac:dyDescent="0.3">
      <c r="A30" s="299" t="s">
        <v>19</v>
      </c>
      <c r="B30" s="500">
        <f>SUM(B23:B29)</f>
        <v>0</v>
      </c>
      <c r="C30" s="500">
        <f>SUM(C23:C29)</f>
        <v>0</v>
      </c>
      <c r="D30" s="500">
        <f>SUM(D23:D29)</f>
        <v>0</v>
      </c>
      <c r="E30" s="500">
        <f>SUM(E23:E29)</f>
        <v>0</v>
      </c>
      <c r="F30" s="500">
        <f>SUM(F23:F29)</f>
        <v>0</v>
      </c>
    </row>
    <row r="31" spans="1:6" ht="15" customHeight="1" x14ac:dyDescent="0.3">
      <c r="A31" s="300"/>
      <c r="B31" s="588"/>
      <c r="C31" s="501"/>
      <c r="D31" s="352"/>
      <c r="E31" s="352"/>
      <c r="F31" s="352"/>
    </row>
    <row r="32" spans="1:6" ht="15" customHeight="1" x14ac:dyDescent="0.3">
      <c r="A32" s="301" t="s">
        <v>20</v>
      </c>
      <c r="B32" s="590"/>
      <c r="C32" s="502"/>
      <c r="D32" s="352"/>
      <c r="E32" s="352"/>
      <c r="F32" s="352"/>
    </row>
    <row r="33" spans="1:6" ht="15" customHeight="1" x14ac:dyDescent="0.3">
      <c r="A33" s="278" t="s">
        <v>21</v>
      </c>
      <c r="B33" s="802">
        <v>61002.059146</v>
      </c>
      <c r="C33" s="802">
        <v>65571.999146000002</v>
      </c>
      <c r="D33" s="802">
        <v>61268.459766000007</v>
      </c>
      <c r="E33" s="802">
        <v>76919.966626000009</v>
      </c>
      <c r="F33" s="802">
        <v>62731.16315</v>
      </c>
    </row>
    <row r="34" spans="1:6" ht="15" customHeight="1" x14ac:dyDescent="0.3">
      <c r="A34" s="278" t="s">
        <v>22</v>
      </c>
      <c r="B34" s="802">
        <v>30284.992380000011</v>
      </c>
      <c r="C34" s="802">
        <v>55575.524215999991</v>
      </c>
      <c r="D34" s="802">
        <v>57298.741061999986</v>
      </c>
      <c r="E34" s="802">
        <v>56695.374572000001</v>
      </c>
      <c r="F34" s="802">
        <v>42557.808187999995</v>
      </c>
    </row>
    <row r="35" spans="1:6" ht="15" customHeight="1" x14ac:dyDescent="0.3">
      <c r="A35" s="278" t="s">
        <v>23</v>
      </c>
      <c r="B35" s="802">
        <v>0</v>
      </c>
      <c r="C35" s="802">
        <v>0</v>
      </c>
      <c r="D35" s="802">
        <v>0</v>
      </c>
      <c r="E35" s="802">
        <v>0</v>
      </c>
      <c r="F35" s="802">
        <v>0</v>
      </c>
    </row>
    <row r="36" spans="1:6" ht="15" customHeight="1" x14ac:dyDescent="0.3">
      <c r="A36" s="278" t="s">
        <v>24</v>
      </c>
      <c r="B36" s="802">
        <v>46071.500644</v>
      </c>
      <c r="C36" s="802">
        <v>57837.079994000014</v>
      </c>
      <c r="D36" s="802">
        <v>58381.359848000007</v>
      </c>
      <c r="E36" s="802">
        <v>74334.267692000009</v>
      </c>
      <c r="F36" s="802">
        <v>56220.66533399999</v>
      </c>
    </row>
    <row r="37" spans="1:6" ht="15" customHeight="1" x14ac:dyDescent="0.3">
      <c r="A37" s="278" t="s">
        <v>25</v>
      </c>
      <c r="B37" s="802">
        <v>52163.633893999999</v>
      </c>
      <c r="C37" s="802">
        <v>52163.633893999999</v>
      </c>
      <c r="D37" s="802">
        <v>52163.633893999999</v>
      </c>
      <c r="E37" s="802">
        <v>52163.633893999999</v>
      </c>
      <c r="F37" s="802">
        <v>46144.754094000004</v>
      </c>
    </row>
    <row r="38" spans="1:6" ht="15" customHeight="1" x14ac:dyDescent="0.3">
      <c r="A38" s="279" t="s">
        <v>26</v>
      </c>
      <c r="B38" s="802">
        <v>2130758.9069740004</v>
      </c>
      <c r="C38" s="802">
        <v>2334054.65026</v>
      </c>
      <c r="D38" s="802">
        <v>2727408.6335720005</v>
      </c>
      <c r="E38" s="802">
        <v>2897397.229392</v>
      </c>
      <c r="F38" s="802">
        <v>2607683.7325320002</v>
      </c>
    </row>
    <row r="39" spans="1:6" ht="15" customHeight="1" x14ac:dyDescent="0.3">
      <c r="A39" s="299" t="s">
        <v>27</v>
      </c>
      <c r="B39" s="500">
        <f>SUM(B33:B38)</f>
        <v>2320281.0930380002</v>
      </c>
      <c r="C39" s="500">
        <f>SUM(C33:C38)</f>
        <v>2565202.8875099998</v>
      </c>
      <c r="D39" s="500">
        <f>SUM(D33:D38)</f>
        <v>2956520.8281420004</v>
      </c>
      <c r="E39" s="500">
        <f>SUM(E33:E38)</f>
        <v>3157510.472176</v>
      </c>
      <c r="F39" s="500">
        <f>SUM(F33:F38)</f>
        <v>2815338.1232980001</v>
      </c>
    </row>
    <row r="40" spans="1:6" ht="15" customHeight="1" x14ac:dyDescent="0.3">
      <c r="A40" s="302"/>
      <c r="B40" s="591"/>
      <c r="C40" s="504"/>
      <c r="D40" s="357"/>
      <c r="E40" s="357"/>
      <c r="F40" s="357"/>
    </row>
    <row r="41" spans="1:6" ht="15" customHeight="1" x14ac:dyDescent="0.3">
      <c r="A41" s="294" t="s">
        <v>28</v>
      </c>
      <c r="B41" s="587">
        <v>0</v>
      </c>
      <c r="C41" s="587">
        <v>0</v>
      </c>
      <c r="D41" s="587">
        <v>0</v>
      </c>
      <c r="E41" s="587">
        <v>0</v>
      </c>
      <c r="F41" s="587">
        <v>0</v>
      </c>
    </row>
    <row r="42" spans="1:6" ht="15" customHeight="1" x14ac:dyDescent="0.3">
      <c r="A42" s="303"/>
      <c r="B42" s="589"/>
      <c r="C42" s="503"/>
      <c r="D42" s="355"/>
      <c r="E42" s="355"/>
      <c r="F42" s="355"/>
    </row>
    <row r="43" spans="1:6" ht="15" customHeight="1" x14ac:dyDescent="0.3">
      <c r="A43" s="299" t="s">
        <v>29</v>
      </c>
      <c r="B43" s="500">
        <f>B20+B30+B39+B41</f>
        <v>24746110.475152001</v>
      </c>
      <c r="C43" s="500">
        <f>C20+C39</f>
        <v>27016337.015370004</v>
      </c>
      <c r="D43" s="500">
        <f>D20+D39</f>
        <v>27771187.365732007</v>
      </c>
      <c r="E43" s="500">
        <f>E20+E39</f>
        <v>27614128.904384002</v>
      </c>
      <c r="F43" s="500">
        <f>F20+F39</f>
        <v>27106919.839141995</v>
      </c>
    </row>
    <row r="44" spans="1:6" ht="15" customHeight="1" x14ac:dyDescent="0.3">
      <c r="A44" s="304"/>
      <c r="B44" s="592"/>
      <c r="C44" s="505"/>
      <c r="D44" s="365"/>
      <c r="E44" s="365"/>
      <c r="F44" s="365"/>
    </row>
    <row r="45" spans="1:6" ht="15" customHeight="1" x14ac:dyDescent="0.3">
      <c r="A45" s="294" t="s">
        <v>30</v>
      </c>
      <c r="B45" s="590"/>
      <c r="C45" s="502"/>
      <c r="D45" s="352"/>
      <c r="E45" s="352"/>
      <c r="F45" s="352"/>
    </row>
    <row r="46" spans="1:6" ht="15" customHeight="1" x14ac:dyDescent="0.3">
      <c r="A46" s="305"/>
      <c r="B46" s="590"/>
      <c r="C46" s="502"/>
      <c r="D46" s="352"/>
      <c r="E46" s="352"/>
      <c r="F46" s="352"/>
    </row>
    <row r="47" spans="1:6" ht="15" customHeight="1" x14ac:dyDescent="0.3">
      <c r="A47" s="294" t="s">
        <v>31</v>
      </c>
      <c r="B47" s="587"/>
      <c r="C47" s="499"/>
      <c r="D47" s="341"/>
      <c r="E47" s="341"/>
      <c r="F47" s="341"/>
    </row>
    <row r="48" spans="1:6" ht="15" customHeight="1" x14ac:dyDescent="0.3">
      <c r="A48" s="278" t="s">
        <v>32</v>
      </c>
      <c r="B48" s="802">
        <v>81057.429010000007</v>
      </c>
      <c r="C48" s="802">
        <v>151579.80222000001</v>
      </c>
      <c r="D48" s="802">
        <v>109859.180158</v>
      </c>
      <c r="E48" s="802">
        <v>83030.836630000005</v>
      </c>
      <c r="F48" s="802">
        <v>78053.526802000008</v>
      </c>
    </row>
    <row r="49" spans="1:6" ht="15" customHeight="1" x14ac:dyDescent="0.3">
      <c r="A49" s="306" t="s">
        <v>50</v>
      </c>
      <c r="B49" s="802">
        <v>0</v>
      </c>
      <c r="C49" s="802">
        <v>0.21505600000000002</v>
      </c>
      <c r="D49" s="802">
        <v>236.13148800000002</v>
      </c>
      <c r="E49" s="802">
        <v>50.968272000000006</v>
      </c>
      <c r="F49" s="802">
        <v>0</v>
      </c>
    </row>
    <row r="50" spans="1:6" ht="15" customHeight="1" x14ac:dyDescent="0.3">
      <c r="A50" s="306" t="s">
        <v>108</v>
      </c>
      <c r="B50" s="802">
        <v>0</v>
      </c>
      <c r="C50" s="802">
        <v>7592.5520800000004</v>
      </c>
      <c r="D50" s="802">
        <v>8095.2185980000004</v>
      </c>
      <c r="E50" s="802">
        <v>3290.2492720000005</v>
      </c>
      <c r="F50" s="802">
        <v>0</v>
      </c>
    </row>
    <row r="51" spans="1:6" ht="15" customHeight="1" x14ac:dyDescent="0.3">
      <c r="A51" s="306" t="s">
        <v>109</v>
      </c>
      <c r="B51" s="802">
        <v>2324857.995476</v>
      </c>
      <c r="C51" s="802">
        <v>2759474.9348000004</v>
      </c>
      <c r="D51" s="802">
        <v>2696946.2468740004</v>
      </c>
      <c r="E51" s="802">
        <v>2628765.6184480004</v>
      </c>
      <c r="F51" s="802">
        <v>3325654.0219260007</v>
      </c>
    </row>
    <row r="52" spans="1:6" ht="15" customHeight="1" x14ac:dyDescent="0.3">
      <c r="A52" s="306" t="s">
        <v>33</v>
      </c>
      <c r="B52" s="802">
        <v>0</v>
      </c>
      <c r="C52" s="802">
        <v>0.16129199999999999</v>
      </c>
      <c r="D52" s="802">
        <v>0.18817400000000004</v>
      </c>
      <c r="E52" s="802">
        <v>0.21505600000000002</v>
      </c>
      <c r="F52" s="802">
        <v>0</v>
      </c>
    </row>
    <row r="53" spans="1:6" ht="15" customHeight="1" x14ac:dyDescent="0.3">
      <c r="A53" s="306" t="s">
        <v>34</v>
      </c>
      <c r="B53" s="802">
        <v>14174691.985156</v>
      </c>
      <c r="C53" s="802">
        <v>14150500.470126003</v>
      </c>
      <c r="D53" s="802">
        <v>15020720.434298001</v>
      </c>
      <c r="E53" s="802">
        <v>14992038.415577998</v>
      </c>
      <c r="F53" s="802">
        <v>15102326.632455999</v>
      </c>
    </row>
    <row r="54" spans="1:6" ht="15" customHeight="1" x14ac:dyDescent="0.3">
      <c r="A54" s="278" t="s">
        <v>35</v>
      </c>
      <c r="B54" s="802">
        <v>347411.67755999998</v>
      </c>
      <c r="C54" s="802">
        <v>254655.60538000002</v>
      </c>
      <c r="D54" s="802">
        <v>238415.51713000002</v>
      </c>
      <c r="E54" s="802">
        <v>202832.88901000001</v>
      </c>
      <c r="F54" s="802">
        <v>324080.76287800004</v>
      </c>
    </row>
    <row r="55" spans="1:6" ht="15" customHeight="1" x14ac:dyDescent="0.3">
      <c r="A55" s="278" t="s">
        <v>36</v>
      </c>
      <c r="B55" s="802">
        <v>0</v>
      </c>
      <c r="C55" s="802">
        <v>0</v>
      </c>
      <c r="D55" s="802">
        <v>0</v>
      </c>
      <c r="E55" s="802">
        <v>0</v>
      </c>
      <c r="F55" s="802">
        <v>0</v>
      </c>
    </row>
    <row r="56" spans="1:6" ht="15" customHeight="1" x14ac:dyDescent="0.3">
      <c r="A56" s="279" t="s">
        <v>37</v>
      </c>
      <c r="B56" s="802">
        <v>295632.10680000001</v>
      </c>
      <c r="C56" s="802">
        <v>42269.256800000003</v>
      </c>
      <c r="D56" s="802">
        <v>35548.756800000003</v>
      </c>
      <c r="E56" s="802">
        <v>35548.756800000003</v>
      </c>
      <c r="F56" s="802">
        <v>382175.66813400004</v>
      </c>
    </row>
    <row r="57" spans="1:6" ht="15" customHeight="1" x14ac:dyDescent="0.3">
      <c r="A57" s="299" t="s">
        <v>38</v>
      </c>
      <c r="B57" s="500">
        <f>SUM(B48:B56)</f>
        <v>17223651.194002002</v>
      </c>
      <c r="C57" s="500">
        <f>SUM(C48:C56)</f>
        <v>17366072.997754004</v>
      </c>
      <c r="D57" s="500">
        <f>SUM(D48:D56)</f>
        <v>18109821.673519999</v>
      </c>
      <c r="E57" s="500">
        <f>SUM(E48:E56)</f>
        <v>17945557.949065998</v>
      </c>
      <c r="F57" s="500">
        <f>SUM(F48:F56)</f>
        <v>19212290.612196002</v>
      </c>
    </row>
    <row r="58" spans="1:6" ht="15" customHeight="1" x14ac:dyDescent="0.3">
      <c r="A58" s="307"/>
      <c r="B58" s="588"/>
      <c r="C58" s="501"/>
      <c r="D58" s="348"/>
      <c r="E58" s="348"/>
      <c r="F58" s="348"/>
    </row>
    <row r="59" spans="1:6" ht="15" customHeight="1" x14ac:dyDescent="0.3">
      <c r="A59" s="294" t="s">
        <v>39</v>
      </c>
      <c r="B59" s="590"/>
      <c r="C59" s="502"/>
      <c r="D59" s="352"/>
      <c r="E59" s="352"/>
      <c r="F59" s="352"/>
    </row>
    <row r="60" spans="1:6" ht="15" customHeight="1" x14ac:dyDescent="0.3">
      <c r="A60" s="278" t="s">
        <v>117</v>
      </c>
      <c r="B60" s="802">
        <v>0</v>
      </c>
      <c r="C60" s="802">
        <v>0</v>
      </c>
      <c r="D60" s="802">
        <v>0</v>
      </c>
      <c r="E60" s="802">
        <v>0</v>
      </c>
      <c r="F60" s="802">
        <v>0</v>
      </c>
    </row>
    <row r="61" spans="1:6" ht="15" customHeight="1" x14ac:dyDescent="0.3">
      <c r="A61" s="278" t="s">
        <v>40</v>
      </c>
      <c r="B61" s="802">
        <v>1529425.3951060001</v>
      </c>
      <c r="C61" s="802">
        <v>1529425.3951060001</v>
      </c>
      <c r="D61" s="802">
        <v>1529425.3951060001</v>
      </c>
      <c r="E61" s="802">
        <v>1529425.3951060001</v>
      </c>
      <c r="F61" s="802">
        <v>1236046.7794840001</v>
      </c>
    </row>
    <row r="62" spans="1:6" ht="15" customHeight="1" x14ac:dyDescent="0.3">
      <c r="A62" s="280"/>
      <c r="B62" s="589"/>
      <c r="C62" s="503"/>
      <c r="D62" s="355"/>
      <c r="E62" s="355"/>
      <c r="F62" s="355"/>
    </row>
    <row r="63" spans="1:6" ht="15" customHeight="1" x14ac:dyDescent="0.3">
      <c r="A63" s="299" t="s">
        <v>41</v>
      </c>
      <c r="B63" s="500">
        <f>SUM(B60:B62)</f>
        <v>1529425.3951060001</v>
      </c>
      <c r="C63" s="500">
        <f>SUM(C60:C62)</f>
        <v>1529425.3951060001</v>
      </c>
      <c r="D63" s="500">
        <f>SUM(D60:D62)</f>
        <v>1529425.3951060001</v>
      </c>
      <c r="E63" s="500">
        <f>SUM(E60:E62)</f>
        <v>1529425.3951060001</v>
      </c>
      <c r="F63" s="500">
        <f>SUM(F60:F62)</f>
        <v>1236046.7794840001</v>
      </c>
    </row>
    <row r="64" spans="1:6" ht="15" customHeight="1" x14ac:dyDescent="0.3">
      <c r="A64" s="307"/>
      <c r="B64" s="588"/>
      <c r="C64" s="501"/>
      <c r="D64" s="348"/>
      <c r="E64" s="348"/>
      <c r="F64" s="348"/>
    </row>
    <row r="65" spans="1:6" ht="15" customHeight="1" x14ac:dyDescent="0.3">
      <c r="A65" s="294" t="s">
        <v>42</v>
      </c>
      <c r="B65" s="590"/>
      <c r="C65" s="502"/>
      <c r="D65" s="352"/>
      <c r="E65" s="352"/>
      <c r="F65" s="352"/>
    </row>
    <row r="66" spans="1:6" ht="15" customHeight="1" x14ac:dyDescent="0.3">
      <c r="A66" s="278" t="s">
        <v>43</v>
      </c>
      <c r="B66" s="802">
        <v>0</v>
      </c>
      <c r="C66" s="802">
        <v>0</v>
      </c>
      <c r="D66" s="802">
        <v>0</v>
      </c>
      <c r="E66" s="802">
        <v>0</v>
      </c>
      <c r="F66" s="802">
        <v>0</v>
      </c>
    </row>
    <row r="67" spans="1:6" ht="15" customHeight="1" x14ac:dyDescent="0.3">
      <c r="A67" s="278" t="s">
        <v>44</v>
      </c>
      <c r="B67" s="802">
        <v>0</v>
      </c>
      <c r="C67" s="802">
        <v>0</v>
      </c>
      <c r="D67" s="802">
        <v>0</v>
      </c>
      <c r="E67" s="802">
        <v>0</v>
      </c>
      <c r="F67" s="802">
        <v>0</v>
      </c>
    </row>
    <row r="68" spans="1:6" ht="15" customHeight="1" x14ac:dyDescent="0.3">
      <c r="A68" s="278" t="s">
        <v>45</v>
      </c>
      <c r="B68" s="802">
        <v>5993033.8860440003</v>
      </c>
      <c r="C68" s="802">
        <v>5993033.8860440003</v>
      </c>
      <c r="D68" s="802">
        <v>5993033.8860440003</v>
      </c>
      <c r="E68" s="802">
        <v>5993033.8860440003</v>
      </c>
      <c r="F68" s="802">
        <v>5993033.8860440003</v>
      </c>
    </row>
    <row r="69" spans="1:6" ht="15" customHeight="1" x14ac:dyDescent="0.3">
      <c r="A69" s="279" t="s">
        <v>46</v>
      </c>
      <c r="B69" s="802">
        <v>0</v>
      </c>
      <c r="C69" s="802">
        <v>2127804.7364660003</v>
      </c>
      <c r="D69" s="802">
        <v>2138906.4110620003</v>
      </c>
      <c r="E69" s="802">
        <v>2146111.674168</v>
      </c>
      <c r="F69" s="802">
        <v>665548.56141800003</v>
      </c>
    </row>
    <row r="70" spans="1:6" ht="15" customHeight="1" x14ac:dyDescent="0.3">
      <c r="A70" s="299" t="s">
        <v>47</v>
      </c>
      <c r="B70" s="500">
        <f>SUM(B66:B69)</f>
        <v>5993033.8860440003</v>
      </c>
      <c r="C70" s="500">
        <f>SUM(C66:C69)</f>
        <v>8120838.6225100011</v>
      </c>
      <c r="D70" s="500">
        <f>SUM(D66:D69)</f>
        <v>8131940.2971060006</v>
      </c>
      <c r="E70" s="500">
        <f>SUM(E66:E69)</f>
        <v>8139145.5602120003</v>
      </c>
      <c r="F70" s="500">
        <f>SUM(F66:F69)</f>
        <v>6658582.447462</v>
      </c>
    </row>
    <row r="71" spans="1:6" ht="15.75" customHeight="1" x14ac:dyDescent="0.3">
      <c r="A71" s="308"/>
      <c r="B71" s="593"/>
      <c r="C71" s="593"/>
      <c r="D71" s="593"/>
      <c r="E71" s="593"/>
      <c r="F71" s="593"/>
    </row>
    <row r="72" spans="1:6" ht="16.5" customHeight="1" thickBot="1" x14ac:dyDescent="0.35">
      <c r="A72" s="309" t="s">
        <v>48</v>
      </c>
      <c r="B72" s="506">
        <f>B70+B63+B57</f>
        <v>24746110.475152001</v>
      </c>
      <c r="C72" s="506">
        <f>C70+C63+C57</f>
        <v>27016337.015370004</v>
      </c>
      <c r="D72" s="506">
        <f>D70+D63+D57</f>
        <v>27771187.365731999</v>
      </c>
      <c r="E72" s="506">
        <f>E70+E63+E57</f>
        <v>27614128.904383998</v>
      </c>
      <c r="F72" s="506">
        <f>F70+F63+F57</f>
        <v>27106919.839142002</v>
      </c>
    </row>
    <row r="76" spans="1:6" ht="15.75" customHeight="1" x14ac:dyDescent="0.3">
      <c r="C76" s="594"/>
      <c r="D76" s="594"/>
      <c r="E76" s="594"/>
      <c r="F76" s="594"/>
    </row>
  </sheetData>
  <sheetProtection algorithmName="SHA-512" hashValue="QWoJgoBAfVI5Xj9u9CJCS0vc+pCojhjPN1DtRZ3kY6cCfRU62L9l/Cskym3SU+hBg4edeg9q/tJMczc+yMTs5A==" saltValue="pbJP4zKHxya/t1pXgKMloQ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8" fitToHeight="0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</sheetPr>
  <dimension ref="A1:AE83"/>
  <sheetViews>
    <sheetView zoomScale="70" zoomScaleNormal="70" zoomScaleSheetLayoutView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H20" sqref="H20"/>
    </sheetView>
  </sheetViews>
  <sheetFormatPr defaultRowHeight="18.75" x14ac:dyDescent="0.3"/>
  <cols>
    <col min="1" max="1" width="53.42578125" style="46" customWidth="1"/>
    <col min="2" max="4" width="13.28515625" style="379" customWidth="1"/>
    <col min="5" max="5" width="10.5703125" style="46" customWidth="1"/>
    <col min="6" max="6" width="1.5703125" style="46" customWidth="1"/>
    <col min="7" max="9" width="13.85546875" style="379" customWidth="1"/>
    <col min="10" max="10" width="9" style="46" customWidth="1"/>
    <col min="11" max="11" width="1.140625" style="46" customWidth="1"/>
    <col min="12" max="14" width="12.140625" style="379" customWidth="1"/>
    <col min="15" max="15" width="9.28515625" style="46" customWidth="1"/>
    <col min="16" max="16" width="1" style="46" customWidth="1"/>
    <col min="17" max="19" width="12.42578125" style="379" customWidth="1"/>
    <col min="20" max="20" width="9.5703125" style="46" customWidth="1"/>
    <col min="21" max="21" width="1.28515625" style="46" customWidth="1"/>
    <col min="22" max="24" width="12.5703125" style="379" customWidth="1"/>
    <col min="25" max="25" width="9.7109375" style="46" customWidth="1"/>
    <col min="26" max="26" width="1" style="46" customWidth="1"/>
    <col min="27" max="28" width="12.85546875" style="379" customWidth="1"/>
    <col min="29" max="29" width="13.7109375" style="46" customWidth="1"/>
    <col min="30" max="30" width="1" style="46" customWidth="1"/>
    <col min="31" max="31" width="74.7109375" style="46" customWidth="1"/>
    <col min="32" max="16384" width="9.140625" style="46"/>
  </cols>
  <sheetData>
    <row r="1" spans="1:31" x14ac:dyDescent="0.3">
      <c r="A1" s="1749" t="s">
        <v>49</v>
      </c>
      <c r="B1" s="1750"/>
      <c r="C1" s="1750"/>
      <c r="D1" s="1750"/>
      <c r="E1" s="1750"/>
      <c r="F1" s="1750"/>
      <c r="G1" s="1750"/>
      <c r="H1" s="1750"/>
      <c r="I1" s="380"/>
      <c r="J1" s="458"/>
      <c r="K1" s="85"/>
      <c r="L1" s="381"/>
      <c r="M1" s="381"/>
      <c r="N1" s="381"/>
      <c r="O1" s="85"/>
      <c r="P1" s="116"/>
      <c r="Q1" s="380"/>
      <c r="R1" s="382"/>
      <c r="S1" s="394"/>
      <c r="T1" s="459"/>
      <c r="U1" s="116"/>
      <c r="V1" s="395"/>
      <c r="W1" s="395"/>
      <c r="X1" s="395"/>
      <c r="Y1" s="116"/>
      <c r="Z1" s="116"/>
      <c r="AA1" s="395"/>
      <c r="AB1" s="395"/>
      <c r="AC1" s="116"/>
      <c r="AD1" s="116"/>
      <c r="AE1" s="120"/>
    </row>
    <row r="2" spans="1:31" x14ac:dyDescent="0.3">
      <c r="A2" s="121"/>
      <c r="B2" s="383"/>
      <c r="C2" s="383"/>
      <c r="D2" s="383"/>
      <c r="E2" s="92"/>
      <c r="F2" s="92"/>
      <c r="G2" s="383"/>
      <c r="H2" s="383"/>
      <c r="I2" s="383"/>
      <c r="J2" s="92"/>
      <c r="K2" s="93"/>
      <c r="L2" s="327"/>
      <c r="M2" s="327"/>
      <c r="N2" s="327"/>
      <c r="O2" s="93"/>
      <c r="P2" s="93"/>
      <c r="Q2" s="383"/>
      <c r="R2" s="384"/>
      <c r="S2" s="396"/>
      <c r="T2" s="460"/>
      <c r="U2" s="93"/>
      <c r="V2" s="397"/>
      <c r="W2" s="397"/>
      <c r="X2" s="397"/>
      <c r="Y2" s="130"/>
      <c r="Z2" s="93"/>
      <c r="AA2" s="397"/>
      <c r="AB2" s="397"/>
      <c r="AC2" s="130"/>
      <c r="AD2" s="93"/>
      <c r="AE2" s="125"/>
    </row>
    <row r="3" spans="1:31" s="49" customFormat="1" x14ac:dyDescent="0.3">
      <c r="A3" s="1751" t="s">
        <v>185</v>
      </c>
      <c r="B3" s="1752"/>
      <c r="C3" s="1752"/>
      <c r="D3" s="1752"/>
      <c r="E3" s="1752"/>
      <c r="F3" s="1752"/>
      <c r="G3" s="1752"/>
      <c r="H3" s="1752"/>
      <c r="I3" s="385"/>
      <c r="J3" s="461"/>
      <c r="K3" s="99"/>
      <c r="L3" s="386"/>
      <c r="M3" s="386"/>
      <c r="N3" s="386"/>
      <c r="O3" s="99"/>
      <c r="P3" s="126"/>
      <c r="Q3" s="385"/>
      <c r="R3" s="387"/>
      <c r="S3" s="393"/>
      <c r="T3" s="462"/>
      <c r="U3" s="126"/>
      <c r="V3" s="398"/>
      <c r="W3" s="398"/>
      <c r="X3" s="398"/>
      <c r="Y3" s="126"/>
      <c r="Z3" s="126"/>
      <c r="AA3" s="398"/>
      <c r="AB3" s="398"/>
      <c r="AC3" s="126"/>
      <c r="AD3" s="126"/>
      <c r="AE3" s="129"/>
    </row>
    <row r="4" spans="1:31" x14ac:dyDescent="0.3">
      <c r="A4" s="1753" t="s">
        <v>51</v>
      </c>
      <c r="B4" s="1754"/>
      <c r="C4" s="1754"/>
      <c r="D4" s="1754"/>
      <c r="E4" s="1754"/>
      <c r="F4" s="1754"/>
      <c r="G4" s="1754"/>
      <c r="H4" s="1754"/>
      <c r="I4" s="383"/>
      <c r="J4" s="463"/>
      <c r="K4" s="104"/>
      <c r="L4" s="388"/>
      <c r="M4" s="388"/>
      <c r="N4" s="388"/>
      <c r="O4" s="104"/>
      <c r="P4" s="130"/>
      <c r="Q4" s="389"/>
      <c r="R4" s="390"/>
      <c r="S4" s="396"/>
      <c r="T4" s="464"/>
      <c r="U4" s="130"/>
      <c r="V4" s="397"/>
      <c r="W4" s="397"/>
      <c r="X4" s="397"/>
      <c r="Y4" s="130"/>
      <c r="Z4" s="130"/>
      <c r="AA4" s="397"/>
      <c r="AB4" s="397"/>
      <c r="AC4" s="130"/>
      <c r="AD4" s="130"/>
      <c r="AE4" s="125"/>
    </row>
    <row r="5" spans="1:31" x14ac:dyDescent="0.3">
      <c r="A5" s="1753" t="s">
        <v>52</v>
      </c>
      <c r="B5" s="1755"/>
      <c r="C5" s="1755"/>
      <c r="D5" s="1755"/>
      <c r="E5" s="1755"/>
      <c r="F5" s="1755"/>
      <c r="G5" s="1755"/>
      <c r="H5" s="1755"/>
      <c r="I5" s="383"/>
      <c r="J5" s="92"/>
      <c r="K5" s="104"/>
      <c r="L5" s="388"/>
      <c r="M5" s="388"/>
      <c r="N5" s="388"/>
      <c r="O5" s="104"/>
      <c r="P5" s="130"/>
      <c r="Q5" s="389"/>
      <c r="R5" s="390"/>
      <c r="S5" s="396"/>
      <c r="T5" s="464"/>
      <c r="U5" s="130"/>
      <c r="V5" s="397"/>
      <c r="W5" s="397"/>
      <c r="X5" s="397"/>
      <c r="Y5" s="130"/>
      <c r="Z5" s="130"/>
      <c r="AA5" s="397"/>
      <c r="AB5" s="397"/>
      <c r="AC5" s="130"/>
      <c r="AD5" s="130"/>
      <c r="AE5" s="125"/>
    </row>
    <row r="6" spans="1:31" s="49" customFormat="1" x14ac:dyDescent="0.3">
      <c r="A6" s="1751" t="s">
        <v>191</v>
      </c>
      <c r="B6" s="1771"/>
      <c r="C6" s="1771"/>
      <c r="D6" s="1771"/>
      <c r="E6" s="1771"/>
      <c r="F6" s="1771"/>
      <c r="G6" s="1771"/>
      <c r="H6" s="1771"/>
      <c r="I6" s="385"/>
      <c r="J6" s="461"/>
      <c r="K6" s="110"/>
      <c r="L6" s="391"/>
      <c r="M6" s="391"/>
      <c r="N6" s="391"/>
      <c r="O6" s="110"/>
      <c r="P6" s="126"/>
      <c r="Q6" s="392"/>
      <c r="R6" s="393"/>
      <c r="S6" s="393"/>
      <c r="T6" s="465"/>
      <c r="U6" s="126"/>
      <c r="V6" s="398"/>
      <c r="W6" s="398"/>
      <c r="X6" s="398"/>
      <c r="Y6" s="126"/>
      <c r="Z6" s="126"/>
      <c r="AA6" s="386"/>
      <c r="AB6" s="386"/>
      <c r="AC6" s="126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385"/>
      <c r="J7" s="466"/>
      <c r="K7" s="110"/>
      <c r="L7" s="391"/>
      <c r="M7" s="391"/>
      <c r="N7" s="391"/>
      <c r="O7" s="110"/>
      <c r="P7" s="126"/>
      <c r="Q7" s="392"/>
      <c r="R7" s="393"/>
      <c r="S7" s="393"/>
      <c r="T7" s="465"/>
      <c r="U7" s="126"/>
      <c r="V7" s="398"/>
      <c r="W7" s="398"/>
      <c r="X7" s="398"/>
      <c r="Y7" s="126"/>
      <c r="Z7" s="126"/>
      <c r="AA7" s="398"/>
      <c r="AB7" s="398"/>
      <c r="AC7" s="126"/>
      <c r="AD7" s="126"/>
      <c r="AE7" s="129"/>
    </row>
    <row r="8" spans="1:31" ht="19.5" thickBot="1" x14ac:dyDescent="0.35">
      <c r="A8" s="467" t="s">
        <v>169</v>
      </c>
      <c r="B8" s="399"/>
      <c r="C8" s="397"/>
      <c r="D8" s="397"/>
      <c r="E8" s="130"/>
      <c r="F8" s="130"/>
      <c r="G8" s="397"/>
      <c r="H8" s="397"/>
      <c r="I8" s="397"/>
      <c r="J8" s="130"/>
      <c r="K8" s="130"/>
      <c r="L8" s="397"/>
      <c r="M8" s="397"/>
      <c r="N8" s="397"/>
      <c r="O8" s="130"/>
      <c r="P8" s="130"/>
      <c r="Q8" s="397"/>
      <c r="R8" s="397"/>
      <c r="S8" s="397"/>
      <c r="T8" s="130"/>
      <c r="U8" s="130"/>
      <c r="V8" s="397"/>
      <c r="W8" s="397"/>
      <c r="X8" s="397"/>
      <c r="Y8" s="130"/>
      <c r="Z8" s="130"/>
      <c r="AA8" s="397"/>
      <c r="AB8" s="397"/>
      <c r="AC8" s="130"/>
      <c r="AD8" s="130"/>
      <c r="AE8" s="125"/>
    </row>
    <row r="9" spans="1:31" x14ac:dyDescent="0.3">
      <c r="A9" s="468"/>
      <c r="B9" s="1744" t="s">
        <v>53</v>
      </c>
      <c r="C9" s="1718"/>
      <c r="D9" s="1718"/>
      <c r="E9" s="1719"/>
      <c r="F9" s="1239"/>
      <c r="G9" s="1725" t="s">
        <v>54</v>
      </c>
      <c r="H9" s="1718"/>
      <c r="I9" s="1718"/>
      <c r="J9" s="1719"/>
      <c r="K9" s="1239"/>
      <c r="L9" s="1745" t="s">
        <v>55</v>
      </c>
      <c r="M9" s="1727"/>
      <c r="N9" s="1727"/>
      <c r="O9" s="1746"/>
      <c r="P9" s="1239"/>
      <c r="Q9" s="1725" t="s">
        <v>56</v>
      </c>
      <c r="R9" s="1718"/>
      <c r="S9" s="1718"/>
      <c r="T9" s="1719"/>
      <c r="U9" s="794"/>
      <c r="V9" s="1745" t="s">
        <v>57</v>
      </c>
      <c r="W9" s="1727"/>
      <c r="X9" s="1727"/>
      <c r="Y9" s="1746"/>
      <c r="Z9" s="1239"/>
      <c r="AA9" s="1745" t="s">
        <v>190</v>
      </c>
      <c r="AB9" s="1727"/>
      <c r="AC9" s="1746"/>
      <c r="AD9" s="794"/>
      <c r="AE9" s="1708" t="s">
        <v>58</v>
      </c>
    </row>
    <row r="10" spans="1:31" ht="37.5" x14ac:dyDescent="0.3">
      <c r="A10" s="469" t="s">
        <v>59</v>
      </c>
      <c r="B10" s="557" t="s">
        <v>60</v>
      </c>
      <c r="C10" s="402" t="s">
        <v>61</v>
      </c>
      <c r="D10" s="1714" t="s">
        <v>62</v>
      </c>
      <c r="E10" s="1711"/>
      <c r="F10" s="139"/>
      <c r="G10" s="401" t="s">
        <v>60</v>
      </c>
      <c r="H10" s="402" t="s">
        <v>61</v>
      </c>
      <c r="I10" s="1714" t="s">
        <v>62</v>
      </c>
      <c r="J10" s="1711"/>
      <c r="K10" s="139"/>
      <c r="L10" s="401" t="s">
        <v>60</v>
      </c>
      <c r="M10" s="402" t="s">
        <v>61</v>
      </c>
      <c r="N10" s="1714" t="s">
        <v>62</v>
      </c>
      <c r="O10" s="1711"/>
      <c r="P10" s="139"/>
      <c r="Q10" s="401" t="s">
        <v>60</v>
      </c>
      <c r="R10" s="402" t="s">
        <v>61</v>
      </c>
      <c r="S10" s="1714" t="s">
        <v>62</v>
      </c>
      <c r="T10" s="1711"/>
      <c r="U10" s="795"/>
      <c r="V10" s="401" t="s">
        <v>60</v>
      </c>
      <c r="W10" s="402" t="s">
        <v>61</v>
      </c>
      <c r="X10" s="1714" t="s">
        <v>62</v>
      </c>
      <c r="Y10" s="1711"/>
      <c r="Z10" s="139"/>
      <c r="AA10" s="403" t="s">
        <v>63</v>
      </c>
      <c r="AB10" s="1714" t="s">
        <v>64</v>
      </c>
      <c r="AC10" s="1711"/>
      <c r="AD10" s="795"/>
      <c r="AE10" s="1709"/>
    </row>
    <row r="11" spans="1:31" ht="19.5" thickBot="1" x14ac:dyDescent="0.35">
      <c r="A11" s="1333"/>
      <c r="B11" s="946" t="s">
        <v>107</v>
      </c>
      <c r="C11" s="407" t="s">
        <v>107</v>
      </c>
      <c r="D11" s="408" t="s">
        <v>107</v>
      </c>
      <c r="E11" s="1001" t="s">
        <v>65</v>
      </c>
      <c r="F11" s="146"/>
      <c r="G11" s="406" t="s">
        <v>107</v>
      </c>
      <c r="H11" s="407" t="s">
        <v>107</v>
      </c>
      <c r="I11" s="408" t="s">
        <v>107</v>
      </c>
      <c r="J11" s="472" t="s">
        <v>65</v>
      </c>
      <c r="K11" s="146"/>
      <c r="L11" s="579" t="s">
        <v>107</v>
      </c>
      <c r="M11" s="580" t="s">
        <v>107</v>
      </c>
      <c r="N11" s="581" t="s">
        <v>107</v>
      </c>
      <c r="O11" s="472" t="s">
        <v>65</v>
      </c>
      <c r="P11" s="146"/>
      <c r="Q11" s="579" t="s">
        <v>107</v>
      </c>
      <c r="R11" s="580" t="s">
        <v>107</v>
      </c>
      <c r="S11" s="581" t="s">
        <v>107</v>
      </c>
      <c r="T11" s="472" t="s">
        <v>65</v>
      </c>
      <c r="U11" s="796"/>
      <c r="V11" s="579" t="s">
        <v>107</v>
      </c>
      <c r="W11" s="580" t="s">
        <v>107</v>
      </c>
      <c r="X11" s="581" t="s">
        <v>107</v>
      </c>
      <c r="Y11" s="472" t="s">
        <v>65</v>
      </c>
      <c r="Z11" s="146"/>
      <c r="AA11" s="579" t="s">
        <v>107</v>
      </c>
      <c r="AB11" s="581" t="s">
        <v>107</v>
      </c>
      <c r="AC11" s="472" t="s">
        <v>65</v>
      </c>
      <c r="AD11" s="796"/>
      <c r="AE11" s="1781"/>
    </row>
    <row r="12" spans="1:31" x14ac:dyDescent="0.3">
      <c r="A12" s="473"/>
      <c r="B12" s="915"/>
      <c r="C12" s="915"/>
      <c r="D12" s="409"/>
      <c r="E12" s="474"/>
      <c r="F12" s="797"/>
      <c r="G12" s="1004"/>
      <c r="H12" s="409"/>
      <c r="I12" s="409"/>
      <c r="J12" s="474"/>
      <c r="K12" s="156"/>
      <c r="L12" s="582"/>
      <c r="M12" s="583"/>
      <c r="N12" s="562"/>
      <c r="O12" s="1005"/>
      <c r="P12" s="156"/>
      <c r="Q12" s="582"/>
      <c r="R12" s="583"/>
      <c r="S12" s="562"/>
      <c r="T12" s="1005"/>
      <c r="U12" s="797"/>
      <c r="V12" s="582"/>
      <c r="W12" s="583"/>
      <c r="X12" s="562"/>
      <c r="Y12" s="1005"/>
      <c r="Z12" s="156"/>
      <c r="AA12" s="582"/>
      <c r="AB12" s="562"/>
      <c r="AC12" s="1005"/>
      <c r="AD12" s="797"/>
      <c r="AE12" s="1255"/>
    </row>
    <row r="13" spans="1:31" x14ac:dyDescent="0.3">
      <c r="A13" s="483" t="s">
        <v>66</v>
      </c>
      <c r="B13" s="908"/>
      <c r="C13" s="908"/>
      <c r="D13" s="412"/>
      <c r="E13" s="1002"/>
      <c r="F13" s="781"/>
      <c r="G13" s="413"/>
      <c r="H13" s="412"/>
      <c r="I13" s="412"/>
      <c r="J13" s="1002"/>
      <c r="K13" s="160"/>
      <c r="L13" s="444"/>
      <c r="M13" s="445"/>
      <c r="N13" s="445"/>
      <c r="O13" s="494"/>
      <c r="P13" s="160"/>
      <c r="Q13" s="444"/>
      <c r="R13" s="445"/>
      <c r="S13" s="445"/>
      <c r="T13" s="494"/>
      <c r="U13" s="781"/>
      <c r="V13" s="444"/>
      <c r="W13" s="445"/>
      <c r="X13" s="445"/>
      <c r="Y13" s="494"/>
      <c r="Z13" s="160"/>
      <c r="AA13" s="444"/>
      <c r="AB13" s="445"/>
      <c r="AC13" s="494"/>
      <c r="AD13" s="781"/>
      <c r="AE13" s="1257"/>
    </row>
    <row r="14" spans="1:31" x14ac:dyDescent="0.3">
      <c r="A14" s="1335" t="s">
        <v>132</v>
      </c>
      <c r="B14" s="604">
        <v>1353780.2082</v>
      </c>
      <c r="C14" s="604">
        <v>1758600.4666739998</v>
      </c>
      <c r="D14" s="416">
        <f>C14-B14</f>
        <v>404820.2584739998</v>
      </c>
      <c r="E14" s="901">
        <f t="shared" ref="E14:E25" si="0">IF(ISERROR(D14/B14),"-",D14/B14)</f>
        <v>0.2990295293297669</v>
      </c>
      <c r="F14" s="782"/>
      <c r="G14" s="417">
        <v>16072.747800000012</v>
      </c>
      <c r="H14" s="416">
        <v>78971.063225999867</v>
      </c>
      <c r="I14" s="416">
        <f>H14-G14</f>
        <v>62898.315425999856</v>
      </c>
      <c r="J14" s="1003">
        <f t="shared" ref="J14:J25" si="1">IF(ISERROR(I14/G14),"-",I14/G14)</f>
        <v>3.9133517310586936</v>
      </c>
      <c r="K14" s="166"/>
      <c r="L14" s="414">
        <v>17416.847800000105</v>
      </c>
      <c r="M14" s="603">
        <v>73058.931848000037</v>
      </c>
      <c r="N14" s="415">
        <f>M14-L14</f>
        <v>55642.084047999931</v>
      </c>
      <c r="O14" s="194">
        <f t="shared" ref="O14:O25" si="2">IF(ISERROR(N14/L14),"-",N14/L14)</f>
        <v>3.1947275814168621</v>
      </c>
      <c r="P14" s="166"/>
      <c r="Q14" s="414">
        <v>3707.0278000001563</v>
      </c>
      <c r="R14" s="415">
        <v>214383.30483199994</v>
      </c>
      <c r="S14" s="415">
        <f>R14-Q14</f>
        <v>210676.27703199978</v>
      </c>
      <c r="T14" s="196">
        <f t="shared" ref="T14:T29" si="3">IF(ISERROR(S14/Q14),"-",S14/Q14)</f>
        <v>56.831588107321693</v>
      </c>
      <c r="U14" s="782"/>
      <c r="V14" s="414">
        <f>B14+G14+L14+Q14</f>
        <v>1390976.8316000002</v>
      </c>
      <c r="W14" s="415">
        <f>C14+H14+M14+R14</f>
        <v>2125013.7665799996</v>
      </c>
      <c r="X14" s="415">
        <f>W14-V14</f>
        <v>734036.93497999944</v>
      </c>
      <c r="Y14" s="194">
        <f t="shared" ref="Y14:Y24" si="4">IF(ISERROR(X14/V14),"-",X14/V14)</f>
        <v>0.52771327192823059</v>
      </c>
      <c r="Z14" s="166"/>
      <c r="AA14" s="417">
        <v>1390976.8315999983</v>
      </c>
      <c r="AB14" s="567">
        <f>AA14-W14</f>
        <v>-734036.9349800013</v>
      </c>
      <c r="AC14" s="196">
        <f t="shared" ref="AC14:AC23" si="5">IF(ISERROR(AB14/AA14),"-",AB14/AA14)</f>
        <v>-0.52771327192823259</v>
      </c>
      <c r="AD14" s="782"/>
      <c r="AE14" s="1259"/>
    </row>
    <row r="15" spans="1:31" x14ac:dyDescent="0.3">
      <c r="A15" s="476" t="s">
        <v>111</v>
      </c>
      <c r="B15" s="397">
        <v>310715.08624199999</v>
      </c>
      <c r="C15" s="904">
        <v>180359.4026</v>
      </c>
      <c r="D15" s="415">
        <f>C15-B15</f>
        <v>-130355.68364199999</v>
      </c>
      <c r="E15" s="196">
        <f>IF(ISERROR(D15/B15),"-",D15/B15)</f>
        <v>-0.41953445266726658</v>
      </c>
      <c r="F15" s="166"/>
      <c r="G15" s="417">
        <v>513794.53695600008</v>
      </c>
      <c r="H15" s="567">
        <v>177609.37400000001</v>
      </c>
      <c r="I15" s="415">
        <f>H15-G15</f>
        <v>-336185.16295600007</v>
      </c>
      <c r="J15" s="195">
        <f t="shared" si="1"/>
        <v>-0.65431829024057919</v>
      </c>
      <c r="K15" s="166"/>
      <c r="L15" s="889">
        <v>546495.52220399992</v>
      </c>
      <c r="M15" s="904">
        <v>207730.655</v>
      </c>
      <c r="N15" s="415">
        <f t="shared" ref="N15:N24" si="6">M15-L15</f>
        <v>-338764.86720399989</v>
      </c>
      <c r="O15" s="196">
        <f t="shared" si="2"/>
        <v>-0.61988589739541033</v>
      </c>
      <c r="P15" s="166"/>
      <c r="Q15" s="417">
        <v>226104.50200000001</v>
      </c>
      <c r="R15" s="416">
        <v>169329.71800000002</v>
      </c>
      <c r="S15" s="415">
        <f t="shared" ref="S15:S24" si="7">R15-Q15</f>
        <v>-56774.783999999985</v>
      </c>
      <c r="T15" s="196">
        <f t="shared" si="3"/>
        <v>-0.25109975032695275</v>
      </c>
      <c r="U15" s="782"/>
      <c r="V15" s="414">
        <f t="shared" ref="V15:V24" si="8">B15+G15+L15+Q15</f>
        <v>1597109.6474019999</v>
      </c>
      <c r="W15" s="415">
        <f t="shared" ref="W15:W24" si="9">C15+H15+M15+R15</f>
        <v>735029.1496</v>
      </c>
      <c r="X15" s="415">
        <f>W15-V15</f>
        <v>-862080.49780199991</v>
      </c>
      <c r="Y15" s="266">
        <f t="shared" si="4"/>
        <v>-0.53977539939373387</v>
      </c>
      <c r="Z15" s="166"/>
      <c r="AA15" s="417">
        <v>1597109.6474020001</v>
      </c>
      <c r="AB15" s="567">
        <f>AA15-W15</f>
        <v>862080.49780200014</v>
      </c>
      <c r="AC15" s="196">
        <f t="shared" si="5"/>
        <v>0.53977539939373387</v>
      </c>
      <c r="AD15" s="782"/>
      <c r="AE15" s="1269"/>
    </row>
    <row r="16" spans="1:31" x14ac:dyDescent="0.3">
      <c r="A16" s="476" t="s">
        <v>69</v>
      </c>
      <c r="B16" s="397">
        <v>0</v>
      </c>
      <c r="C16" s="904">
        <v>0</v>
      </c>
      <c r="D16" s="415">
        <f t="shared" ref="D16:D22" si="10">C16-B16</f>
        <v>0</v>
      </c>
      <c r="E16" s="196" t="str">
        <f t="shared" si="0"/>
        <v>-</v>
      </c>
      <c r="F16" s="171"/>
      <c r="G16" s="414">
        <v>6048.4500000000007</v>
      </c>
      <c r="H16" s="415">
        <v>6083.2621899999995</v>
      </c>
      <c r="I16" s="415">
        <f t="shared" ref="I16:I24" si="11">H16-G16</f>
        <v>34.812189999998736</v>
      </c>
      <c r="J16" s="195">
        <f t="shared" si="1"/>
        <v>5.7555555555553455E-3</v>
      </c>
      <c r="K16" s="171"/>
      <c r="L16" s="889">
        <v>0</v>
      </c>
      <c r="M16" s="904">
        <v>0</v>
      </c>
      <c r="N16" s="415">
        <f t="shared" si="6"/>
        <v>0</v>
      </c>
      <c r="O16" s="194" t="str">
        <f t="shared" si="2"/>
        <v>-</v>
      </c>
      <c r="P16" s="171"/>
      <c r="Q16" s="417">
        <v>6021.5680000000002</v>
      </c>
      <c r="R16" s="416">
        <v>5957.0780820000009</v>
      </c>
      <c r="S16" s="415">
        <f t="shared" si="7"/>
        <v>-64.489917999999307</v>
      </c>
      <c r="T16" s="196">
        <f t="shared" si="3"/>
        <v>-1.0709821428571313E-2</v>
      </c>
      <c r="U16" s="783"/>
      <c r="V16" s="414">
        <f t="shared" si="8"/>
        <v>12070.018</v>
      </c>
      <c r="W16" s="415">
        <f t="shared" si="9"/>
        <v>12040.340272000001</v>
      </c>
      <c r="X16" s="415">
        <f t="shared" ref="X16:X23" si="12">W16-V16</f>
        <v>-29.677727999998751</v>
      </c>
      <c r="Y16" s="194">
        <f t="shared" si="4"/>
        <v>-2.4587973273941057E-3</v>
      </c>
      <c r="Z16" s="171"/>
      <c r="AA16" s="417">
        <v>12070.018</v>
      </c>
      <c r="AB16" s="567">
        <f t="shared" ref="AB16:AB24" si="13">AA16-W16</f>
        <v>29.677727999998751</v>
      </c>
      <c r="AC16" s="196">
        <f t="shared" si="5"/>
        <v>2.4587973273941057E-3</v>
      </c>
      <c r="AD16" s="783"/>
      <c r="AE16" s="1258"/>
    </row>
    <row r="17" spans="1:31" x14ac:dyDescent="0.3">
      <c r="A17" s="476" t="s">
        <v>68</v>
      </c>
      <c r="B17" s="397">
        <v>0</v>
      </c>
      <c r="C17" s="904">
        <v>0</v>
      </c>
      <c r="D17" s="415">
        <f t="shared" si="10"/>
        <v>0</v>
      </c>
      <c r="E17" s="196" t="str">
        <f t="shared" si="0"/>
        <v>-</v>
      </c>
      <c r="F17" s="166"/>
      <c r="G17" s="889">
        <v>0</v>
      </c>
      <c r="H17" s="891">
        <v>0</v>
      </c>
      <c r="I17" s="415">
        <f t="shared" si="11"/>
        <v>0</v>
      </c>
      <c r="J17" s="194" t="str">
        <f t="shared" si="1"/>
        <v>-</v>
      </c>
      <c r="K17" s="166"/>
      <c r="L17" s="889">
        <v>0</v>
      </c>
      <c r="M17" s="904">
        <v>0</v>
      </c>
      <c r="N17" s="415">
        <f t="shared" si="6"/>
        <v>0</v>
      </c>
      <c r="O17" s="194" t="str">
        <f t="shared" si="2"/>
        <v>-</v>
      </c>
      <c r="P17" s="166"/>
      <c r="Q17" s="414">
        <v>0</v>
      </c>
      <c r="R17" s="415">
        <v>0</v>
      </c>
      <c r="S17" s="415">
        <f t="shared" si="7"/>
        <v>0</v>
      </c>
      <c r="T17" s="196" t="str">
        <f t="shared" si="3"/>
        <v>-</v>
      </c>
      <c r="U17" s="782"/>
      <c r="V17" s="414">
        <f t="shared" si="8"/>
        <v>0</v>
      </c>
      <c r="W17" s="415">
        <f t="shared" si="9"/>
        <v>0</v>
      </c>
      <c r="X17" s="415">
        <f t="shared" si="12"/>
        <v>0</v>
      </c>
      <c r="Y17" s="194" t="str">
        <f t="shared" si="4"/>
        <v>-</v>
      </c>
      <c r="Z17" s="166"/>
      <c r="AA17" s="417">
        <v>0</v>
      </c>
      <c r="AB17" s="567">
        <f t="shared" si="13"/>
        <v>0</v>
      </c>
      <c r="AC17" s="196" t="str">
        <f t="shared" si="5"/>
        <v>-</v>
      </c>
      <c r="AD17" s="782"/>
      <c r="AE17" s="1257"/>
    </row>
    <row r="18" spans="1:31" x14ac:dyDescent="0.3">
      <c r="A18" s="476" t="s">
        <v>71</v>
      </c>
      <c r="B18" s="397">
        <v>1563762.1500540001</v>
      </c>
      <c r="C18" s="904">
        <v>1503235.4990780002</v>
      </c>
      <c r="D18" s="415">
        <f t="shared" si="10"/>
        <v>-60526.650975999888</v>
      </c>
      <c r="E18" s="196">
        <f t="shared" si="0"/>
        <v>-3.8705791014259916E-2</v>
      </c>
      <c r="F18" s="166"/>
      <c r="G18" s="889">
        <v>1673190.6805720001</v>
      </c>
      <c r="H18" s="891">
        <v>1275171.3261600002</v>
      </c>
      <c r="I18" s="415">
        <f t="shared" si="11"/>
        <v>-398019.35441199993</v>
      </c>
      <c r="J18" s="266">
        <f t="shared" si="1"/>
        <v>-0.23788045142346376</v>
      </c>
      <c r="K18" s="166"/>
      <c r="L18" s="889">
        <v>1171313.713794</v>
      </c>
      <c r="M18" s="904">
        <v>1096575.24835</v>
      </c>
      <c r="N18" s="415">
        <f t="shared" si="6"/>
        <v>-74738.465443999972</v>
      </c>
      <c r="O18" s="196">
        <f t="shared" si="2"/>
        <v>-6.3807385300659339E-2</v>
      </c>
      <c r="P18" s="166"/>
      <c r="Q18" s="417">
        <v>938747.23598800017</v>
      </c>
      <c r="R18" s="567">
        <v>16279.87361000001</v>
      </c>
      <c r="S18" s="415">
        <f t="shared" si="7"/>
        <v>-922467.36237800017</v>
      </c>
      <c r="T18" s="196">
        <f t="shared" si="3"/>
        <v>-0.98265787318897835</v>
      </c>
      <c r="U18" s="782"/>
      <c r="V18" s="414">
        <f>B18+G18+L18+Q18</f>
        <v>5347013.7804080006</v>
      </c>
      <c r="W18" s="415">
        <f>C18+H18+M18+R18</f>
        <v>3891261.9471980007</v>
      </c>
      <c r="X18" s="415">
        <f t="shared" si="12"/>
        <v>-1455751.8332099998</v>
      </c>
      <c r="Y18" s="266">
        <f t="shared" si="4"/>
        <v>-0.27225511154357257</v>
      </c>
      <c r="Z18" s="166"/>
      <c r="AA18" s="417">
        <v>5347013.7804080006</v>
      </c>
      <c r="AB18" s="415">
        <f>AA18-W18</f>
        <v>1455751.8332099998</v>
      </c>
      <c r="AC18" s="196">
        <f t="shared" si="5"/>
        <v>0.27225511154357257</v>
      </c>
      <c r="AD18" s="782"/>
      <c r="AE18" s="1259"/>
    </row>
    <row r="19" spans="1:31" x14ac:dyDescent="0.3">
      <c r="A19" s="476" t="s">
        <v>187</v>
      </c>
      <c r="B19" s="397">
        <v>0</v>
      </c>
      <c r="C19" s="904">
        <v>0</v>
      </c>
      <c r="D19" s="415">
        <f>C19-B19</f>
        <v>0</v>
      </c>
      <c r="E19" s="196" t="str">
        <f t="shared" si="0"/>
        <v>-</v>
      </c>
      <c r="F19" s="166"/>
      <c r="G19" s="889">
        <v>0</v>
      </c>
      <c r="H19" s="891">
        <v>0</v>
      </c>
      <c r="I19" s="415">
        <f t="shared" si="11"/>
        <v>0</v>
      </c>
      <c r="J19" s="266" t="str">
        <f t="shared" si="1"/>
        <v>-</v>
      </c>
      <c r="K19" s="166"/>
      <c r="L19" s="889">
        <v>0</v>
      </c>
      <c r="M19" s="904">
        <v>0</v>
      </c>
      <c r="N19" s="415">
        <f t="shared" si="6"/>
        <v>0</v>
      </c>
      <c r="O19" s="266" t="str">
        <f t="shared" si="2"/>
        <v>-</v>
      </c>
      <c r="P19" s="166"/>
      <c r="Q19" s="417">
        <v>0</v>
      </c>
      <c r="R19" s="567">
        <v>0</v>
      </c>
      <c r="S19" s="415">
        <f t="shared" si="7"/>
        <v>0</v>
      </c>
      <c r="T19" s="196" t="str">
        <f t="shared" si="3"/>
        <v>-</v>
      </c>
      <c r="U19" s="782"/>
      <c r="V19" s="414">
        <f t="shared" si="8"/>
        <v>0</v>
      </c>
      <c r="W19" s="415">
        <f t="shared" si="9"/>
        <v>0</v>
      </c>
      <c r="X19" s="415">
        <f t="shared" si="12"/>
        <v>0</v>
      </c>
      <c r="Y19" s="266"/>
      <c r="Z19" s="166"/>
      <c r="AA19" s="417">
        <v>0</v>
      </c>
      <c r="AB19" s="415">
        <f t="shared" si="13"/>
        <v>0</v>
      </c>
      <c r="AC19" s="196" t="str">
        <f t="shared" si="5"/>
        <v>-</v>
      </c>
      <c r="AD19" s="782"/>
      <c r="AE19" s="1257"/>
    </row>
    <row r="20" spans="1:31" x14ac:dyDescent="0.3">
      <c r="A20" s="1466" t="s">
        <v>67</v>
      </c>
      <c r="B20" s="604">
        <v>0</v>
      </c>
      <c r="C20" s="904">
        <v>0</v>
      </c>
      <c r="D20" s="415">
        <f t="shared" si="10"/>
        <v>0</v>
      </c>
      <c r="E20" s="196" t="str">
        <f t="shared" si="0"/>
        <v>-</v>
      </c>
      <c r="F20" s="166"/>
      <c r="G20" s="889">
        <v>0</v>
      </c>
      <c r="H20" s="891">
        <v>0</v>
      </c>
      <c r="I20" s="415">
        <f t="shared" si="11"/>
        <v>0</v>
      </c>
      <c r="J20" s="266" t="str">
        <f t="shared" si="1"/>
        <v>-</v>
      </c>
      <c r="K20" s="166"/>
      <c r="L20" s="889">
        <v>0</v>
      </c>
      <c r="M20" s="904">
        <v>0</v>
      </c>
      <c r="N20" s="415">
        <f t="shared" si="6"/>
        <v>0</v>
      </c>
      <c r="O20" s="266" t="str">
        <f t="shared" si="2"/>
        <v>-</v>
      </c>
      <c r="P20" s="166"/>
      <c r="Q20" s="414">
        <v>0</v>
      </c>
      <c r="R20" s="415">
        <v>0</v>
      </c>
      <c r="S20" s="415">
        <f t="shared" si="7"/>
        <v>0</v>
      </c>
      <c r="T20" s="196" t="str">
        <f t="shared" si="3"/>
        <v>-</v>
      </c>
      <c r="U20" s="782"/>
      <c r="V20" s="414">
        <f t="shared" si="8"/>
        <v>0</v>
      </c>
      <c r="W20" s="415">
        <f t="shared" si="9"/>
        <v>0</v>
      </c>
      <c r="X20" s="415">
        <f t="shared" si="12"/>
        <v>0</v>
      </c>
      <c r="Y20" s="266" t="str">
        <f t="shared" si="4"/>
        <v>-</v>
      </c>
      <c r="Z20" s="166"/>
      <c r="AA20" s="417">
        <v>0</v>
      </c>
      <c r="AB20" s="415">
        <f t="shared" si="13"/>
        <v>0</v>
      </c>
      <c r="AC20" s="196" t="str">
        <f t="shared" si="5"/>
        <v>-</v>
      </c>
      <c r="AD20" s="782"/>
      <c r="AE20" s="1257"/>
    </row>
    <row r="21" spans="1:31" x14ac:dyDescent="0.3">
      <c r="A21" s="1335" t="s">
        <v>112</v>
      </c>
      <c r="B21" s="397">
        <v>0</v>
      </c>
      <c r="C21" s="904">
        <v>0</v>
      </c>
      <c r="D21" s="415">
        <f t="shared" si="10"/>
        <v>0</v>
      </c>
      <c r="E21" s="196" t="str">
        <f t="shared" si="0"/>
        <v>-</v>
      </c>
      <c r="F21" s="166"/>
      <c r="G21" s="889">
        <v>0</v>
      </c>
      <c r="H21" s="891">
        <v>0</v>
      </c>
      <c r="I21" s="415">
        <f t="shared" si="11"/>
        <v>0</v>
      </c>
      <c r="J21" s="266" t="str">
        <f t="shared" si="1"/>
        <v>-</v>
      </c>
      <c r="K21" s="166"/>
      <c r="L21" s="889">
        <v>0</v>
      </c>
      <c r="M21" s="904">
        <v>0</v>
      </c>
      <c r="N21" s="415">
        <f t="shared" si="6"/>
        <v>0</v>
      </c>
      <c r="O21" s="266" t="str">
        <f t="shared" si="2"/>
        <v>-</v>
      </c>
      <c r="P21" s="166"/>
      <c r="Q21" s="414">
        <v>0</v>
      </c>
      <c r="R21" s="415">
        <v>0</v>
      </c>
      <c r="S21" s="415">
        <f t="shared" si="7"/>
        <v>0</v>
      </c>
      <c r="T21" s="196" t="str">
        <f t="shared" si="3"/>
        <v>-</v>
      </c>
      <c r="U21" s="782"/>
      <c r="V21" s="414">
        <f t="shared" si="8"/>
        <v>0</v>
      </c>
      <c r="W21" s="415">
        <f t="shared" si="9"/>
        <v>0</v>
      </c>
      <c r="X21" s="415">
        <f t="shared" si="12"/>
        <v>0</v>
      </c>
      <c r="Y21" s="266" t="str">
        <f t="shared" si="4"/>
        <v>-</v>
      </c>
      <c r="Z21" s="166"/>
      <c r="AA21" s="417">
        <v>0</v>
      </c>
      <c r="AB21" s="415">
        <f t="shared" si="13"/>
        <v>0</v>
      </c>
      <c r="AC21" s="196" t="str">
        <f t="shared" si="5"/>
        <v>-</v>
      </c>
      <c r="AD21" s="782"/>
      <c r="AE21" s="1257"/>
    </row>
    <row r="22" spans="1:31" x14ac:dyDescent="0.3">
      <c r="A22" s="476" t="s">
        <v>70</v>
      </c>
      <c r="B22" s="397">
        <v>0</v>
      </c>
      <c r="C22" s="904">
        <v>0</v>
      </c>
      <c r="D22" s="415">
        <f t="shared" si="10"/>
        <v>0</v>
      </c>
      <c r="E22" s="196" t="str">
        <f t="shared" si="0"/>
        <v>-</v>
      </c>
      <c r="F22" s="166"/>
      <c r="G22" s="889">
        <v>0</v>
      </c>
      <c r="H22" s="891">
        <v>0</v>
      </c>
      <c r="I22" s="415">
        <f t="shared" si="11"/>
        <v>0</v>
      </c>
      <c r="J22" s="266" t="str">
        <f t="shared" si="1"/>
        <v>-</v>
      </c>
      <c r="K22" s="166"/>
      <c r="L22" s="414">
        <v>0</v>
      </c>
      <c r="M22" s="605">
        <v>0</v>
      </c>
      <c r="N22" s="415">
        <f t="shared" si="6"/>
        <v>0</v>
      </c>
      <c r="O22" s="266" t="str">
        <f t="shared" si="2"/>
        <v>-</v>
      </c>
      <c r="P22" s="166"/>
      <c r="Q22" s="414">
        <v>0</v>
      </c>
      <c r="R22" s="415">
        <v>419146.26767800003</v>
      </c>
      <c r="S22" s="415">
        <f t="shared" si="7"/>
        <v>419146.26767800003</v>
      </c>
      <c r="T22" s="196" t="str">
        <f t="shared" si="3"/>
        <v>-</v>
      </c>
      <c r="U22" s="782"/>
      <c r="V22" s="414">
        <f t="shared" si="8"/>
        <v>0</v>
      </c>
      <c r="W22" s="415">
        <f t="shared" si="9"/>
        <v>419146.26767800003</v>
      </c>
      <c r="X22" s="415">
        <f t="shared" si="12"/>
        <v>419146.26767800003</v>
      </c>
      <c r="Y22" s="266" t="str">
        <f t="shared" si="4"/>
        <v>-</v>
      </c>
      <c r="Z22" s="166"/>
      <c r="AA22" s="417">
        <v>0</v>
      </c>
      <c r="AB22" s="415">
        <f t="shared" si="13"/>
        <v>-419146.26767800003</v>
      </c>
      <c r="AC22" s="196" t="str">
        <f t="shared" si="5"/>
        <v>-</v>
      </c>
      <c r="AD22" s="782"/>
      <c r="AE22" s="1257"/>
    </row>
    <row r="23" spans="1:31" x14ac:dyDescent="0.3">
      <c r="A23" s="476" t="s">
        <v>72</v>
      </c>
      <c r="B23" s="397">
        <v>0</v>
      </c>
      <c r="C23" s="904">
        <v>0</v>
      </c>
      <c r="D23" s="415">
        <f>C23-B23</f>
        <v>0</v>
      </c>
      <c r="E23" s="196" t="str">
        <f t="shared" si="0"/>
        <v>-</v>
      </c>
      <c r="F23" s="166"/>
      <c r="G23" s="889">
        <v>0</v>
      </c>
      <c r="H23" s="891">
        <v>0</v>
      </c>
      <c r="I23" s="415">
        <f t="shared" si="11"/>
        <v>0</v>
      </c>
      <c r="J23" s="194" t="str">
        <f t="shared" si="1"/>
        <v>-</v>
      </c>
      <c r="K23" s="166"/>
      <c r="L23" s="414">
        <v>0</v>
      </c>
      <c r="M23" s="605">
        <v>0</v>
      </c>
      <c r="N23" s="415">
        <f t="shared" si="6"/>
        <v>0</v>
      </c>
      <c r="O23" s="194" t="str">
        <f t="shared" si="2"/>
        <v>-</v>
      </c>
      <c r="P23" s="166"/>
      <c r="Q23" s="414">
        <v>0</v>
      </c>
      <c r="R23" s="415">
        <v>0</v>
      </c>
      <c r="S23" s="415">
        <f t="shared" si="7"/>
        <v>0</v>
      </c>
      <c r="T23" s="196" t="str">
        <f t="shared" si="3"/>
        <v>-</v>
      </c>
      <c r="U23" s="782"/>
      <c r="V23" s="414">
        <f t="shared" si="8"/>
        <v>0</v>
      </c>
      <c r="W23" s="415">
        <f t="shared" si="9"/>
        <v>0</v>
      </c>
      <c r="X23" s="415">
        <f t="shared" si="12"/>
        <v>0</v>
      </c>
      <c r="Y23" s="194" t="str">
        <f>IF(ISERROR(X23/V23),"-",X23/V23)</f>
        <v>-</v>
      </c>
      <c r="Z23" s="166"/>
      <c r="AA23" s="417">
        <v>0</v>
      </c>
      <c r="AB23" s="415">
        <f t="shared" si="13"/>
        <v>0</v>
      </c>
      <c r="AC23" s="196" t="str">
        <f t="shared" si="5"/>
        <v>-</v>
      </c>
      <c r="AD23" s="782"/>
      <c r="AE23" s="1258"/>
    </row>
    <row r="24" spans="1:31" x14ac:dyDescent="0.3">
      <c r="A24" s="476" t="s">
        <v>131</v>
      </c>
      <c r="B24" s="397">
        <v>0</v>
      </c>
      <c r="C24" s="907">
        <v>0</v>
      </c>
      <c r="D24" s="415">
        <f>C24-B24</f>
        <v>0</v>
      </c>
      <c r="E24" s="196" t="str">
        <f t="shared" si="0"/>
        <v>-</v>
      </c>
      <c r="F24" s="166"/>
      <c r="G24" s="414">
        <v>0</v>
      </c>
      <c r="H24" s="415">
        <v>0</v>
      </c>
      <c r="I24" s="415">
        <f t="shared" si="11"/>
        <v>0</v>
      </c>
      <c r="J24" s="266" t="str">
        <f t="shared" si="1"/>
        <v>-</v>
      </c>
      <c r="K24" s="166"/>
      <c r="L24" s="414">
        <v>0</v>
      </c>
      <c r="M24" s="605">
        <v>0</v>
      </c>
      <c r="N24" s="415">
        <f t="shared" si="6"/>
        <v>0</v>
      </c>
      <c r="O24" s="266" t="str">
        <f t="shared" si="2"/>
        <v>-</v>
      </c>
      <c r="P24" s="166"/>
      <c r="Q24" s="414">
        <v>0</v>
      </c>
      <c r="R24" s="415">
        <v>0</v>
      </c>
      <c r="S24" s="415">
        <f t="shared" si="7"/>
        <v>0</v>
      </c>
      <c r="T24" s="196" t="str">
        <f t="shared" si="3"/>
        <v>-</v>
      </c>
      <c r="U24" s="782"/>
      <c r="V24" s="414">
        <f t="shared" si="8"/>
        <v>0</v>
      </c>
      <c r="W24" s="415">
        <f t="shared" si="9"/>
        <v>0</v>
      </c>
      <c r="X24" s="415">
        <f>W24-V24</f>
        <v>0</v>
      </c>
      <c r="Y24" s="266" t="str">
        <f t="shared" si="4"/>
        <v>-</v>
      </c>
      <c r="Z24" s="166"/>
      <c r="AA24" s="417">
        <v>0</v>
      </c>
      <c r="AB24" s="415">
        <f t="shared" si="13"/>
        <v>0</v>
      </c>
      <c r="AC24" s="196" t="str">
        <f>IF(ISERROR(AB24/AA24),"-",AB24/AA24)</f>
        <v>-</v>
      </c>
      <c r="AD24" s="782"/>
      <c r="AE24" s="1257"/>
    </row>
    <row r="25" spans="1:31" x14ac:dyDescent="0.3">
      <c r="A25" s="477" t="s">
        <v>73</v>
      </c>
      <c r="B25" s="565">
        <f>SUM(B14:B24)</f>
        <v>3228257.4444960002</v>
      </c>
      <c r="C25" s="433">
        <f>SUM(C14:C24)</f>
        <v>3442195.3683519997</v>
      </c>
      <c r="D25" s="433">
        <f>SUM(D14:D24)</f>
        <v>213937.92385599995</v>
      </c>
      <c r="E25" s="211">
        <f t="shared" si="0"/>
        <v>6.6270403626189175E-2</v>
      </c>
      <c r="F25" s="178"/>
      <c r="G25" s="432">
        <f>SUM(G14:G24)</f>
        <v>2209106.4153280002</v>
      </c>
      <c r="H25" s="433">
        <f>SUM(H14:H24)</f>
        <v>1537835.0255760001</v>
      </c>
      <c r="I25" s="433">
        <f>SUM(I14:I24)</f>
        <v>-671271.3897520001</v>
      </c>
      <c r="J25" s="211">
        <f t="shared" si="1"/>
        <v>-0.30386557437629463</v>
      </c>
      <c r="K25" s="178"/>
      <c r="L25" s="432">
        <f>SUM(L14:L24)</f>
        <v>1735226.0837980001</v>
      </c>
      <c r="M25" s="606">
        <f>SUM(M14:M24)</f>
        <v>1377364.8351980001</v>
      </c>
      <c r="N25" s="607">
        <f>SUM(N14:N24)</f>
        <v>-357861.24859999993</v>
      </c>
      <c r="O25" s="211">
        <f t="shared" si="2"/>
        <v>-0.20623321188022148</v>
      </c>
      <c r="P25" s="178"/>
      <c r="Q25" s="432">
        <f>SUM(Q14:Q24)</f>
        <v>1174580.3337880003</v>
      </c>
      <c r="R25" s="606">
        <f>SUM(R14:R24)</f>
        <v>825096.24220199999</v>
      </c>
      <c r="S25" s="606">
        <f>SUM(S14:S24)</f>
        <v>-349484.09158600029</v>
      </c>
      <c r="T25" s="478">
        <f t="shared" si="3"/>
        <v>-0.29753953947017009</v>
      </c>
      <c r="U25" s="784"/>
      <c r="V25" s="432">
        <f>SUM(V14:V24)</f>
        <v>8347170.2774100006</v>
      </c>
      <c r="W25" s="433">
        <f>SUM(W14:W24)</f>
        <v>7182491.4713280005</v>
      </c>
      <c r="X25" s="433">
        <f>SUM(X14:X24)</f>
        <v>-1164678.8060820003</v>
      </c>
      <c r="Y25" s="478">
        <f>IF(ISERROR(X25/V25),"-",X25/V25)</f>
        <v>-0.13952977684353438</v>
      </c>
      <c r="Z25" s="178"/>
      <c r="AA25" s="434">
        <f>SUM(AA14:AA24)</f>
        <v>8347170.2774099987</v>
      </c>
      <c r="AB25" s="435">
        <f>SUM(AB14:AB24)</f>
        <v>1164678.8060819986</v>
      </c>
      <c r="AC25" s="479">
        <f>IF(ISERROR(AB25/AA25),"-",AB25/AA25)</f>
        <v>0.13952977684353421</v>
      </c>
      <c r="AD25" s="784"/>
      <c r="AE25" s="1262"/>
    </row>
    <row r="26" spans="1:31" x14ac:dyDescent="0.3">
      <c r="A26" s="480"/>
      <c r="B26" s="566"/>
      <c r="C26" s="423"/>
      <c r="D26" s="423"/>
      <c r="E26" s="481"/>
      <c r="F26" s="166"/>
      <c r="G26" s="424"/>
      <c r="H26" s="425"/>
      <c r="I26" s="425"/>
      <c r="J26" s="190"/>
      <c r="K26" s="166"/>
      <c r="L26" s="424"/>
      <c r="M26" s="608"/>
      <c r="N26" s="609"/>
      <c r="O26" s="481"/>
      <c r="P26" s="166"/>
      <c r="Q26" s="424"/>
      <c r="R26" s="425"/>
      <c r="S26" s="425"/>
      <c r="T26" s="482" t="str">
        <f t="shared" si="3"/>
        <v>-</v>
      </c>
      <c r="U26" s="782"/>
      <c r="V26" s="422"/>
      <c r="W26" s="423"/>
      <c r="X26" s="423"/>
      <c r="Y26" s="481"/>
      <c r="Z26" s="166"/>
      <c r="AA26" s="422"/>
      <c r="AB26" s="423"/>
      <c r="AC26" s="507"/>
      <c r="AD26" s="782"/>
      <c r="AE26" s="1257"/>
    </row>
    <row r="27" spans="1:31" x14ac:dyDescent="0.3">
      <c r="A27" s="483" t="s">
        <v>74</v>
      </c>
      <c r="B27" s="567">
        <v>0</v>
      </c>
      <c r="C27" s="415">
        <v>0</v>
      </c>
      <c r="D27" s="415">
        <f>C27-B27</f>
        <v>0</v>
      </c>
      <c r="E27" s="266" t="str">
        <f>IF(ISERROR(D27/B27),"-",D27/B27)</f>
        <v>-</v>
      </c>
      <c r="F27" s="166"/>
      <c r="G27" s="552">
        <v>0</v>
      </c>
      <c r="H27" s="598">
        <v>0</v>
      </c>
      <c r="I27" s="598">
        <f>H27-G27</f>
        <v>0</v>
      </c>
      <c r="J27" s="267" t="str">
        <f>IF(ISERROR(I27/G27),"-",I27/G27)</f>
        <v>-</v>
      </c>
      <c r="K27" s="166"/>
      <c r="L27" s="552">
        <v>0</v>
      </c>
      <c r="M27" s="610">
        <v>0</v>
      </c>
      <c r="N27" s="611">
        <f>L27-M27</f>
        <v>0</v>
      </c>
      <c r="O27" s="266" t="str">
        <f>IF(ISERROR(N27/L27),"-",N27/L27)</f>
        <v>-</v>
      </c>
      <c r="P27" s="166"/>
      <c r="Q27" s="426">
        <v>0</v>
      </c>
      <c r="R27" s="427">
        <v>0</v>
      </c>
      <c r="S27" s="427">
        <f>Q27-R27</f>
        <v>0</v>
      </c>
      <c r="T27" s="267" t="str">
        <f t="shared" si="3"/>
        <v>-</v>
      </c>
      <c r="U27" s="782"/>
      <c r="V27" s="414">
        <f>B27+G27+L27+Q27</f>
        <v>0</v>
      </c>
      <c r="W27" s="415">
        <f>C27+H27+M27+R27</f>
        <v>0</v>
      </c>
      <c r="X27" s="415">
        <f>W27-V27</f>
        <v>0</v>
      </c>
      <c r="Y27" s="484" t="str">
        <f>IF(ISERROR(X27/V27),"-",X27/V27)</f>
        <v>-</v>
      </c>
      <c r="Z27" s="166"/>
      <c r="AA27" s="414">
        <v>0</v>
      </c>
      <c r="AB27" s="415">
        <f>AA27-W27</f>
        <v>0</v>
      </c>
      <c r="AC27" s="1677" t="str">
        <f>IF(ISERROR(AB27/AA27),"-",AB27/AA27)</f>
        <v>-</v>
      </c>
      <c r="AD27" s="782"/>
      <c r="AE27" s="1257"/>
    </row>
    <row r="28" spans="1:31" x14ac:dyDescent="0.3">
      <c r="A28" s="485"/>
      <c r="B28" s="568"/>
      <c r="C28" s="429"/>
      <c r="D28" s="429"/>
      <c r="E28" s="486"/>
      <c r="F28" s="160"/>
      <c r="G28" s="430"/>
      <c r="H28" s="431"/>
      <c r="I28" s="431"/>
      <c r="J28" s="206"/>
      <c r="K28" s="160"/>
      <c r="L28" s="430"/>
      <c r="M28" s="612"/>
      <c r="N28" s="613"/>
      <c r="O28" s="486"/>
      <c r="P28" s="160"/>
      <c r="Q28" s="430"/>
      <c r="R28" s="431"/>
      <c r="S28" s="431"/>
      <c r="T28" s="487" t="str">
        <f t="shared" si="3"/>
        <v>-</v>
      </c>
      <c r="U28" s="781"/>
      <c r="V28" s="428"/>
      <c r="W28" s="429"/>
      <c r="X28" s="429"/>
      <c r="Y28" s="486"/>
      <c r="Z28" s="160"/>
      <c r="AA28" s="428"/>
      <c r="AB28" s="429"/>
      <c r="AC28" s="508"/>
      <c r="AD28" s="781"/>
      <c r="AE28" s="1257"/>
    </row>
    <row r="29" spans="1:31" x14ac:dyDescent="0.3">
      <c r="A29" s="477" t="s">
        <v>75</v>
      </c>
      <c r="B29" s="565">
        <f>B25+B27</f>
        <v>3228257.4444960002</v>
      </c>
      <c r="C29" s="433">
        <f>C25+C27</f>
        <v>3442195.3683519997</v>
      </c>
      <c r="D29" s="433">
        <f>D25+D27</f>
        <v>213937.92385599995</v>
      </c>
      <c r="E29" s="211">
        <f>IF(ISERROR(D29/B29),"-",D29/B29)</f>
        <v>6.6270403626189175E-2</v>
      </c>
      <c r="F29" s="178"/>
      <c r="G29" s="432">
        <f>G25+G27</f>
        <v>2209106.4153280002</v>
      </c>
      <c r="H29" s="433">
        <f>H25+H27</f>
        <v>1537835.0255760001</v>
      </c>
      <c r="I29" s="433">
        <f>I25+I27</f>
        <v>-671271.3897520001</v>
      </c>
      <c r="J29" s="211">
        <f>IF(ISERROR(I29/G29),"-",I29/G29)</f>
        <v>-0.30386557437629463</v>
      </c>
      <c r="K29" s="178"/>
      <c r="L29" s="432">
        <f>L25+L27</f>
        <v>1735226.0837980001</v>
      </c>
      <c r="M29" s="606">
        <f>M25+M27</f>
        <v>1377364.8351980001</v>
      </c>
      <c r="N29" s="607">
        <f>N25+N27</f>
        <v>-357861.24859999993</v>
      </c>
      <c r="O29" s="211">
        <f>IF(ISERROR(N29/L29),"-",N29/L29)</f>
        <v>-0.20623321188022148</v>
      </c>
      <c r="P29" s="178"/>
      <c r="Q29" s="432">
        <f>Q25+Q27</f>
        <v>1174580.3337880003</v>
      </c>
      <c r="R29" s="606">
        <f>R25+R27</f>
        <v>825096.24220199999</v>
      </c>
      <c r="S29" s="606">
        <f>S25+S27</f>
        <v>-349484.09158600029</v>
      </c>
      <c r="T29" s="211">
        <f t="shared" si="3"/>
        <v>-0.29753953947017009</v>
      </c>
      <c r="U29" s="784"/>
      <c r="V29" s="432">
        <f>V25+V27</f>
        <v>8347170.2774100006</v>
      </c>
      <c r="W29" s="433">
        <f>W25+W27</f>
        <v>7182491.4713280005</v>
      </c>
      <c r="X29" s="433">
        <f>X25+X27</f>
        <v>-1164678.8060820003</v>
      </c>
      <c r="Y29" s="211">
        <f>IF(ISERROR(X29/V29),"-",X29/V29)</f>
        <v>-0.13952977684353438</v>
      </c>
      <c r="Z29" s="178"/>
      <c r="AA29" s="434">
        <f>AA25+AA27</f>
        <v>8347170.2774099987</v>
      </c>
      <c r="AB29" s="435">
        <f>AA29-W29</f>
        <v>1164678.8060819982</v>
      </c>
      <c r="AC29" s="479">
        <f>IF(ISERROR(AB29/AA29),"-",AB29/AA29)</f>
        <v>0.13952977684353415</v>
      </c>
      <c r="AD29" s="784"/>
      <c r="AE29" s="1262"/>
    </row>
    <row r="30" spans="1:31" x14ac:dyDescent="0.3">
      <c r="A30" s="488"/>
      <c r="B30" s="569"/>
      <c r="C30" s="437"/>
      <c r="D30" s="437"/>
      <c r="E30" s="475"/>
      <c r="F30" s="160"/>
      <c r="G30" s="438"/>
      <c r="H30" s="439"/>
      <c r="I30" s="439"/>
      <c r="J30" s="489"/>
      <c r="K30" s="160"/>
      <c r="L30" s="438"/>
      <c r="M30" s="614"/>
      <c r="N30" s="615"/>
      <c r="O30" s="475"/>
      <c r="P30" s="160"/>
      <c r="Q30" s="438"/>
      <c r="R30" s="439"/>
      <c r="S30" s="439"/>
      <c r="T30" s="489"/>
      <c r="U30" s="781"/>
      <c r="V30" s="422"/>
      <c r="W30" s="423"/>
      <c r="X30" s="437"/>
      <c r="Y30" s="475"/>
      <c r="Z30" s="160"/>
      <c r="AA30" s="422"/>
      <c r="AB30" s="437"/>
      <c r="AC30" s="475"/>
      <c r="AD30" s="781"/>
      <c r="AE30" s="1257"/>
    </row>
    <row r="31" spans="1:31" x14ac:dyDescent="0.3">
      <c r="A31" s="483" t="s">
        <v>76</v>
      </c>
      <c r="B31" s="567"/>
      <c r="C31" s="415"/>
      <c r="D31" s="415"/>
      <c r="E31" s="484"/>
      <c r="F31" s="166"/>
      <c r="G31" s="426"/>
      <c r="H31" s="427"/>
      <c r="I31" s="427"/>
      <c r="J31" s="490"/>
      <c r="K31" s="166"/>
      <c r="L31" s="426"/>
      <c r="M31" s="616"/>
      <c r="N31" s="617"/>
      <c r="O31" s="484"/>
      <c r="P31" s="166"/>
      <c r="Q31" s="426"/>
      <c r="R31" s="427"/>
      <c r="S31" s="427"/>
      <c r="T31" s="490"/>
      <c r="U31" s="782"/>
      <c r="V31" s="414"/>
      <c r="W31" s="415"/>
      <c r="X31" s="415"/>
      <c r="Y31" s="484"/>
      <c r="Z31" s="166"/>
      <c r="AA31" s="414"/>
      <c r="AB31" s="415"/>
      <c r="AC31" s="484"/>
      <c r="AD31" s="782"/>
      <c r="AE31" s="1257"/>
    </row>
    <row r="32" spans="1:31" x14ac:dyDescent="0.3">
      <c r="A32" s="483" t="s">
        <v>77</v>
      </c>
      <c r="B32" s="604"/>
      <c r="C32" s="567"/>
      <c r="D32" s="415"/>
      <c r="E32" s="484"/>
      <c r="F32" s="166"/>
      <c r="G32" s="426"/>
      <c r="H32" s="427"/>
      <c r="I32" s="427"/>
      <c r="J32" s="490"/>
      <c r="K32" s="166"/>
      <c r="L32" s="426"/>
      <c r="M32" s="616"/>
      <c r="N32" s="617"/>
      <c r="O32" s="484"/>
      <c r="P32" s="166"/>
      <c r="Q32" s="426"/>
      <c r="R32" s="427"/>
      <c r="S32" s="427"/>
      <c r="T32" s="490"/>
      <c r="U32" s="782"/>
      <c r="V32" s="414"/>
      <c r="W32" s="415"/>
      <c r="X32" s="415"/>
      <c r="Y32" s="484"/>
      <c r="Z32" s="166"/>
      <c r="AA32" s="414"/>
      <c r="AB32" s="415"/>
      <c r="AC32" s="484"/>
      <c r="AD32" s="782"/>
      <c r="AE32" s="1257"/>
    </row>
    <row r="33" spans="1:31" x14ac:dyDescent="0.3">
      <c r="A33" s="476" t="s">
        <v>78</v>
      </c>
      <c r="B33" s="604">
        <v>761667.30297800014</v>
      </c>
      <c r="C33" s="604">
        <v>731062.14597800013</v>
      </c>
      <c r="D33" s="415">
        <f t="shared" ref="D33:D40" si="14">C33-B33</f>
        <v>-30605.157000000007</v>
      </c>
      <c r="E33" s="194">
        <f>IF(ISERROR(D33/B33),"-",D33/B33)</f>
        <v>-4.0181791814271957E-2</v>
      </c>
      <c r="F33" s="171"/>
      <c r="G33" s="426">
        <v>777507.03760200017</v>
      </c>
      <c r="H33" s="427">
        <v>782814.94226599997</v>
      </c>
      <c r="I33" s="415">
        <f t="shared" ref="I33:I40" si="15">H33-G33</f>
        <v>5307.9046639997978</v>
      </c>
      <c r="J33" s="195">
        <f t="shared" ref="J33:J40" si="16">IF(ISERROR(I33/G33),"-",I33/G33)</f>
        <v>6.8268252341104506E-3</v>
      </c>
      <c r="K33" s="171"/>
      <c r="L33" s="426">
        <v>790803.43932399992</v>
      </c>
      <c r="M33" s="616">
        <v>785791.37107000011</v>
      </c>
      <c r="N33" s="415">
        <f>M33-L33</f>
        <v>-5012.0682539998088</v>
      </c>
      <c r="O33" s="194">
        <f t="shared" ref="O33:O41" si="17">IF(ISERROR(N33/L33),"-",N33/L33)</f>
        <v>-6.33794443064671E-3</v>
      </c>
      <c r="P33" s="171"/>
      <c r="Q33" s="426">
        <v>813992.98156799993</v>
      </c>
      <c r="R33" s="616">
        <v>822530.81229599984</v>
      </c>
      <c r="S33" s="415">
        <f t="shared" ref="S33:S40" si="18">R33-Q33</f>
        <v>8537.8307279999135</v>
      </c>
      <c r="T33" s="195">
        <f t="shared" ref="T33:T41" si="19">IF(ISERROR(S33/Q33),"-",S33/Q33)</f>
        <v>1.048882597433879E-2</v>
      </c>
      <c r="U33" s="783"/>
      <c r="V33" s="414">
        <f>B33+G33+L33+Q33</f>
        <v>3143970.7614720003</v>
      </c>
      <c r="W33" s="415">
        <f>C33+H33+M33+R33</f>
        <v>3122199.2716099997</v>
      </c>
      <c r="X33" s="415">
        <f t="shared" ref="X33:X40" si="20">W33-V33</f>
        <v>-21771.48986200057</v>
      </c>
      <c r="Y33" s="194">
        <f t="shared" ref="Y33:Y41" si="21">IF(ISERROR(X33/V33),"-",X33/V33)</f>
        <v>-6.9248385286532392E-3</v>
      </c>
      <c r="Z33" s="171"/>
      <c r="AA33" s="414">
        <v>3143970.7614720003</v>
      </c>
      <c r="AB33" s="415">
        <f t="shared" ref="AB33:AB40" si="22">AA33-W33</f>
        <v>21771.48986200057</v>
      </c>
      <c r="AC33" s="196">
        <f t="shared" ref="AC33:AC41" si="23">IF(ISERROR(AB33/AA33),"-",AB33/AA33)</f>
        <v>6.9248385286532392E-3</v>
      </c>
      <c r="AD33" s="783"/>
      <c r="AE33" s="1267"/>
    </row>
    <row r="34" spans="1:31" x14ac:dyDescent="0.3">
      <c r="A34" s="476" t="s">
        <v>79</v>
      </c>
      <c r="B34" s="604">
        <v>0</v>
      </c>
      <c r="C34" s="604">
        <v>0</v>
      </c>
      <c r="D34" s="415">
        <f t="shared" si="14"/>
        <v>0</v>
      </c>
      <c r="E34" s="194" t="str">
        <f t="shared" ref="E34:E40" si="24">IF(ISERROR(D34/B34),"-",D34/B34)</f>
        <v>-</v>
      </c>
      <c r="F34" s="171"/>
      <c r="G34" s="552">
        <v>0</v>
      </c>
      <c r="H34" s="598">
        <v>0</v>
      </c>
      <c r="I34" s="415">
        <f t="shared" si="15"/>
        <v>0</v>
      </c>
      <c r="J34" s="195" t="str">
        <f t="shared" si="16"/>
        <v>-</v>
      </c>
      <c r="K34" s="171"/>
      <c r="L34" s="552">
        <v>0</v>
      </c>
      <c r="M34" s="610">
        <v>0</v>
      </c>
      <c r="N34" s="415">
        <f t="shared" ref="N34:N40" si="25">M34-L34</f>
        <v>0</v>
      </c>
      <c r="O34" s="194" t="str">
        <f t="shared" si="17"/>
        <v>-</v>
      </c>
      <c r="P34" s="171"/>
      <c r="Q34" s="552">
        <v>0</v>
      </c>
      <c r="R34" s="610">
        <v>0</v>
      </c>
      <c r="S34" s="415">
        <f t="shared" si="18"/>
        <v>0</v>
      </c>
      <c r="T34" s="195" t="str">
        <f t="shared" si="19"/>
        <v>-</v>
      </c>
      <c r="U34" s="783"/>
      <c r="V34" s="414">
        <f t="shared" ref="V34:V40" si="26">B34+G34+L34+Q34</f>
        <v>0</v>
      </c>
      <c r="W34" s="415">
        <f t="shared" ref="W34:W40" si="27">C34+H34+M34+R34</f>
        <v>0</v>
      </c>
      <c r="X34" s="415">
        <f t="shared" si="20"/>
        <v>0</v>
      </c>
      <c r="Y34" s="194" t="str">
        <f t="shared" si="21"/>
        <v>-</v>
      </c>
      <c r="Z34" s="171"/>
      <c r="AA34" s="414">
        <v>0</v>
      </c>
      <c r="AB34" s="597">
        <f t="shared" si="22"/>
        <v>0</v>
      </c>
      <c r="AC34" s="196" t="str">
        <f t="shared" si="23"/>
        <v>-</v>
      </c>
      <c r="AD34" s="783"/>
      <c r="AE34" s="1258"/>
    </row>
    <row r="35" spans="1:31" x14ac:dyDescent="0.3">
      <c r="A35" s="476" t="s">
        <v>81</v>
      </c>
      <c r="B35" s="604">
        <v>58468.860758000003</v>
      </c>
      <c r="C35" s="604">
        <v>58445.607828</v>
      </c>
      <c r="D35" s="415">
        <f t="shared" si="14"/>
        <v>-23.25293000000238</v>
      </c>
      <c r="E35" s="194">
        <f t="shared" si="24"/>
        <v>-3.9769767528471635E-4</v>
      </c>
      <c r="F35" s="171"/>
      <c r="G35" s="426">
        <v>59419.300750000009</v>
      </c>
      <c r="H35" s="427">
        <v>62018.736386000004</v>
      </c>
      <c r="I35" s="415">
        <f t="shared" si="15"/>
        <v>2599.4356359999947</v>
      </c>
      <c r="J35" s="195">
        <f t="shared" si="16"/>
        <v>4.3747327942091178E-2</v>
      </c>
      <c r="K35" s="171"/>
      <c r="L35" s="426">
        <v>59894.493864000004</v>
      </c>
      <c r="M35" s="616">
        <v>62566.322725999999</v>
      </c>
      <c r="N35" s="415">
        <f t="shared" si="25"/>
        <v>2671.8288619999948</v>
      </c>
      <c r="O35" s="194">
        <f t="shared" si="17"/>
        <v>4.4608922951528872E-2</v>
      </c>
      <c r="P35" s="171"/>
      <c r="Q35" s="426">
        <v>61608.382656000009</v>
      </c>
      <c r="R35" s="616">
        <v>63048.478277999995</v>
      </c>
      <c r="S35" s="415">
        <f t="shared" si="18"/>
        <v>1440.0956219999862</v>
      </c>
      <c r="T35" s="195">
        <f t="shared" si="19"/>
        <v>2.3374994763959055E-2</v>
      </c>
      <c r="U35" s="783"/>
      <c r="V35" s="414">
        <f t="shared" si="26"/>
        <v>239391.03802800001</v>
      </c>
      <c r="W35" s="415">
        <f t="shared" si="27"/>
        <v>246079.14521800002</v>
      </c>
      <c r="X35" s="415">
        <f t="shared" si="20"/>
        <v>6688.1071900000097</v>
      </c>
      <c r="Y35" s="194">
        <f t="shared" si="21"/>
        <v>2.7938001543807774E-2</v>
      </c>
      <c r="Z35" s="171"/>
      <c r="AA35" s="414">
        <v>239391.03802800001</v>
      </c>
      <c r="AB35" s="415">
        <f t="shared" si="22"/>
        <v>-6688.1071900000097</v>
      </c>
      <c r="AC35" s="196">
        <f t="shared" si="23"/>
        <v>-2.7938001543807774E-2</v>
      </c>
      <c r="AD35" s="783"/>
      <c r="AE35" s="1516"/>
    </row>
    <row r="36" spans="1:31" x14ac:dyDescent="0.3">
      <c r="A36" s="476" t="s">
        <v>106</v>
      </c>
      <c r="B36" s="604">
        <v>24229.284240000001</v>
      </c>
      <c r="C36" s="604">
        <v>26186.723952</v>
      </c>
      <c r="D36" s="415">
        <f t="shared" si="14"/>
        <v>1957.4397119999994</v>
      </c>
      <c r="E36" s="194">
        <f t="shared" si="24"/>
        <v>8.0788177339901457E-2</v>
      </c>
      <c r="F36" s="230"/>
      <c r="G36" s="426">
        <v>24999.292248000002</v>
      </c>
      <c r="H36" s="427">
        <v>28115.023576000003</v>
      </c>
      <c r="I36" s="415">
        <f t="shared" si="15"/>
        <v>3115.7313280000017</v>
      </c>
      <c r="J36" s="195">
        <f t="shared" si="16"/>
        <v>0.12463278148401449</v>
      </c>
      <c r="K36" s="230"/>
      <c r="L36" s="426">
        <v>25384.296252</v>
      </c>
      <c r="M36" s="616">
        <v>28253.170174000006</v>
      </c>
      <c r="N36" s="415">
        <f t="shared" si="25"/>
        <v>2868.8739220000061</v>
      </c>
      <c r="O36" s="194">
        <f t="shared" si="17"/>
        <v>0.11301766625789245</v>
      </c>
      <c r="P36" s="230"/>
      <c r="Q36" s="426">
        <v>27211.17009</v>
      </c>
      <c r="R36" s="616">
        <v>30042.221038</v>
      </c>
      <c r="S36" s="415">
        <f t="shared" si="18"/>
        <v>2831.0509480000001</v>
      </c>
      <c r="T36" s="197">
        <f t="shared" si="19"/>
        <v>0.10404002983467442</v>
      </c>
      <c r="U36" s="785"/>
      <c r="V36" s="414">
        <f t="shared" si="26"/>
        <v>101824.04283000001</v>
      </c>
      <c r="W36" s="415">
        <f t="shared" si="27"/>
        <v>112597.13874000001</v>
      </c>
      <c r="X36" s="415">
        <f t="shared" si="20"/>
        <v>10773.095910000004</v>
      </c>
      <c r="Y36" s="194">
        <f t="shared" si="21"/>
        <v>0.1058011016905525</v>
      </c>
      <c r="Z36" s="230"/>
      <c r="AA36" s="414">
        <v>101824.04283000001</v>
      </c>
      <c r="AB36" s="415">
        <f>AA36-W36</f>
        <v>-10773.095910000004</v>
      </c>
      <c r="AC36" s="196">
        <f t="shared" si="23"/>
        <v>-0.1058011016905525</v>
      </c>
      <c r="AD36" s="785"/>
      <c r="AE36" s="1257"/>
    </row>
    <row r="37" spans="1:31" x14ac:dyDescent="0.3">
      <c r="A37" s="476" t="s">
        <v>80</v>
      </c>
      <c r="B37" s="604">
        <v>0</v>
      </c>
      <c r="C37" s="604">
        <v>0</v>
      </c>
      <c r="D37" s="415">
        <f t="shared" si="14"/>
        <v>0</v>
      </c>
      <c r="E37" s="194" t="str">
        <f t="shared" si="24"/>
        <v>-</v>
      </c>
      <c r="F37" s="230"/>
      <c r="G37" s="426">
        <v>0</v>
      </c>
      <c r="H37" s="427">
        <v>0</v>
      </c>
      <c r="I37" s="415">
        <f t="shared" si="15"/>
        <v>0</v>
      </c>
      <c r="J37" s="195" t="str">
        <f t="shared" si="16"/>
        <v>-</v>
      </c>
      <c r="K37" s="230"/>
      <c r="L37" s="426">
        <v>0</v>
      </c>
      <c r="M37" s="616">
        <v>0</v>
      </c>
      <c r="N37" s="415">
        <f t="shared" si="25"/>
        <v>0</v>
      </c>
      <c r="O37" s="266" t="str">
        <f t="shared" si="17"/>
        <v>-</v>
      </c>
      <c r="P37" s="230"/>
      <c r="Q37" s="426">
        <v>0</v>
      </c>
      <c r="R37" s="616">
        <v>0</v>
      </c>
      <c r="S37" s="415">
        <f t="shared" si="18"/>
        <v>0</v>
      </c>
      <c r="T37" s="267" t="str">
        <f t="shared" si="19"/>
        <v>-</v>
      </c>
      <c r="U37" s="785"/>
      <c r="V37" s="414">
        <f t="shared" si="26"/>
        <v>0</v>
      </c>
      <c r="W37" s="415">
        <f t="shared" si="27"/>
        <v>0</v>
      </c>
      <c r="X37" s="415">
        <f t="shared" si="20"/>
        <v>0</v>
      </c>
      <c r="Y37" s="194" t="str">
        <f t="shared" si="21"/>
        <v>-</v>
      </c>
      <c r="Z37" s="230"/>
      <c r="AA37" s="414">
        <v>0</v>
      </c>
      <c r="AB37" s="415">
        <f t="shared" si="22"/>
        <v>0</v>
      </c>
      <c r="AC37" s="196" t="str">
        <f t="shared" si="23"/>
        <v>-</v>
      </c>
      <c r="AD37" s="785"/>
      <c r="AE37" s="1269"/>
    </row>
    <row r="38" spans="1:31" x14ac:dyDescent="0.3">
      <c r="A38" s="476" t="s">
        <v>130</v>
      </c>
      <c r="B38" s="604">
        <v>33300.023736000003</v>
      </c>
      <c r="C38" s="604">
        <v>29747.943784000003</v>
      </c>
      <c r="D38" s="415">
        <f t="shared" si="14"/>
        <v>-3552.079952</v>
      </c>
      <c r="E38" s="194">
        <f t="shared" si="24"/>
        <v>-0.10666899159473919</v>
      </c>
      <c r="F38" s="171"/>
      <c r="G38" s="426">
        <v>33300.023736000003</v>
      </c>
      <c r="H38" s="427">
        <v>31524.037523999999</v>
      </c>
      <c r="I38" s="415">
        <f t="shared" si="15"/>
        <v>-1775.9862120000034</v>
      </c>
      <c r="J38" s="195">
        <f t="shared" si="16"/>
        <v>-5.3332881263985991E-2</v>
      </c>
      <c r="K38" s="171"/>
      <c r="L38" s="426">
        <v>34188.043724000003</v>
      </c>
      <c r="M38" s="616">
        <v>35075.983066000001</v>
      </c>
      <c r="N38" s="415">
        <f t="shared" si="25"/>
        <v>887.93934199999785</v>
      </c>
      <c r="O38" s="194">
        <f t="shared" si="17"/>
        <v>2.5972218509146942E-2</v>
      </c>
      <c r="P38" s="171"/>
      <c r="Q38" s="426">
        <v>34632.053718000003</v>
      </c>
      <c r="R38" s="616">
        <v>35964.003054000001</v>
      </c>
      <c r="S38" s="415">
        <f t="shared" si="18"/>
        <v>1331.9493359999979</v>
      </c>
      <c r="T38" s="195">
        <f t="shared" si="19"/>
        <v>3.8460015881406351E-2</v>
      </c>
      <c r="U38" s="783"/>
      <c r="V38" s="414">
        <f t="shared" si="26"/>
        <v>135420.144914</v>
      </c>
      <c r="W38" s="415">
        <f>C38+H38+M38+R38</f>
        <v>132311.967428</v>
      </c>
      <c r="X38" s="415">
        <f t="shared" si="20"/>
        <v>-3108.1774860000005</v>
      </c>
      <c r="Y38" s="194">
        <f t="shared" si="21"/>
        <v>-2.2952105744487878E-2</v>
      </c>
      <c r="Z38" s="171"/>
      <c r="AA38" s="414">
        <v>135420.144914</v>
      </c>
      <c r="AB38" s="415">
        <f t="shared" si="22"/>
        <v>3108.1774860000005</v>
      </c>
      <c r="AC38" s="196">
        <f t="shared" si="23"/>
        <v>2.2952105744487878E-2</v>
      </c>
      <c r="AD38" s="783"/>
      <c r="AE38" s="1258"/>
    </row>
    <row r="39" spans="1:31" x14ac:dyDescent="0.3">
      <c r="A39" s="476" t="s">
        <v>129</v>
      </c>
      <c r="B39" s="604">
        <v>0</v>
      </c>
      <c r="C39" s="604">
        <v>0</v>
      </c>
      <c r="D39" s="415">
        <f t="shared" si="14"/>
        <v>0</v>
      </c>
      <c r="E39" s="194" t="str">
        <f t="shared" si="24"/>
        <v>-</v>
      </c>
      <c r="F39" s="171"/>
      <c r="G39" s="426">
        <v>0</v>
      </c>
      <c r="H39" s="427">
        <v>0</v>
      </c>
      <c r="I39" s="415">
        <f t="shared" si="15"/>
        <v>0</v>
      </c>
      <c r="J39" s="195" t="str">
        <f t="shared" si="16"/>
        <v>-</v>
      </c>
      <c r="K39" s="171"/>
      <c r="L39" s="426">
        <v>0</v>
      </c>
      <c r="M39" s="616">
        <v>0</v>
      </c>
      <c r="N39" s="415">
        <f t="shared" si="25"/>
        <v>0</v>
      </c>
      <c r="O39" s="194" t="str">
        <f t="shared" si="17"/>
        <v>-</v>
      </c>
      <c r="P39" s="171"/>
      <c r="Q39" s="426">
        <v>0</v>
      </c>
      <c r="R39" s="616">
        <v>266811.99524600001</v>
      </c>
      <c r="S39" s="415">
        <f t="shared" si="18"/>
        <v>266811.99524600001</v>
      </c>
      <c r="T39" s="195" t="str">
        <f t="shared" si="19"/>
        <v>-</v>
      </c>
      <c r="U39" s="783"/>
      <c r="V39" s="414">
        <f t="shared" si="26"/>
        <v>0</v>
      </c>
      <c r="W39" s="415">
        <f t="shared" si="27"/>
        <v>266811.99524600001</v>
      </c>
      <c r="X39" s="415">
        <f t="shared" si="20"/>
        <v>266811.99524600001</v>
      </c>
      <c r="Y39" s="194" t="str">
        <f t="shared" si="21"/>
        <v>-</v>
      </c>
      <c r="Z39" s="171"/>
      <c r="AA39" s="414">
        <v>0</v>
      </c>
      <c r="AB39" s="415">
        <f t="shared" si="22"/>
        <v>-266811.99524600001</v>
      </c>
      <c r="AC39" s="196" t="str">
        <f t="shared" si="23"/>
        <v>-</v>
      </c>
      <c r="AD39" s="783"/>
      <c r="AE39" s="1267"/>
    </row>
    <row r="40" spans="1:31" x14ac:dyDescent="0.3">
      <c r="A40" s="491" t="s">
        <v>40</v>
      </c>
      <c r="B40" s="1021">
        <v>0</v>
      </c>
      <c r="C40" s="604">
        <v>0</v>
      </c>
      <c r="D40" s="415">
        <f t="shared" si="14"/>
        <v>0</v>
      </c>
      <c r="E40" s="194" t="str">
        <f t="shared" si="24"/>
        <v>-</v>
      </c>
      <c r="F40" s="166"/>
      <c r="G40" s="442">
        <v>0</v>
      </c>
      <c r="H40" s="443">
        <v>0</v>
      </c>
      <c r="I40" s="415">
        <f t="shared" si="15"/>
        <v>0</v>
      </c>
      <c r="J40" s="234" t="str">
        <f t="shared" si="16"/>
        <v>-</v>
      </c>
      <c r="K40" s="166"/>
      <c r="L40" s="618">
        <v>0</v>
      </c>
      <c r="M40" s="619">
        <v>0</v>
      </c>
      <c r="N40" s="415">
        <f t="shared" si="25"/>
        <v>0</v>
      </c>
      <c r="O40" s="509" t="str">
        <f t="shared" si="17"/>
        <v>-</v>
      </c>
      <c r="P40" s="166"/>
      <c r="Q40" s="618">
        <v>0</v>
      </c>
      <c r="R40" s="623">
        <v>0</v>
      </c>
      <c r="S40" s="415">
        <f t="shared" si="18"/>
        <v>0</v>
      </c>
      <c r="T40" s="234" t="str">
        <f t="shared" si="19"/>
        <v>-</v>
      </c>
      <c r="U40" s="782"/>
      <c r="V40" s="414">
        <f t="shared" si="26"/>
        <v>0</v>
      </c>
      <c r="W40" s="415">
        <f t="shared" si="27"/>
        <v>0</v>
      </c>
      <c r="X40" s="415">
        <f t="shared" si="20"/>
        <v>0</v>
      </c>
      <c r="Y40" s="233" t="str">
        <f t="shared" si="21"/>
        <v>-</v>
      </c>
      <c r="Z40" s="166"/>
      <c r="AA40" s="414">
        <v>0</v>
      </c>
      <c r="AB40" s="415">
        <f t="shared" si="22"/>
        <v>0</v>
      </c>
      <c r="AC40" s="235" t="str">
        <f t="shared" si="23"/>
        <v>-</v>
      </c>
      <c r="AD40" s="782"/>
      <c r="AE40" s="1267"/>
    </row>
    <row r="41" spans="1:31" x14ac:dyDescent="0.3">
      <c r="A41" s="477" t="s">
        <v>83</v>
      </c>
      <c r="B41" s="565">
        <f>SUM(B33:B40)</f>
        <v>877665.4717120002</v>
      </c>
      <c r="C41" s="433">
        <f>SUM(C33:C40)</f>
        <v>845442.42154200014</v>
      </c>
      <c r="D41" s="433">
        <f>SUM(D33:D40)</f>
        <v>-32223.05017000001</v>
      </c>
      <c r="E41" s="317">
        <f>IF(ISERROR(D41/B41),"-",D41/B41)</f>
        <v>-3.6714501377324071E-2</v>
      </c>
      <c r="F41" s="171"/>
      <c r="G41" s="432">
        <f>SUM(G33:G40)</f>
        <v>895225.65433600033</v>
      </c>
      <c r="H41" s="433">
        <f>SUM(H33:H40)</f>
        <v>904472.73975199996</v>
      </c>
      <c r="I41" s="433">
        <f>SUM(I33:I40)</f>
        <v>9247.0854159997907</v>
      </c>
      <c r="J41" s="211">
        <f>IF(ISERROR(I41/G41),"-",I41/G41)</f>
        <v>1.0329334700376148E-2</v>
      </c>
      <c r="K41" s="171"/>
      <c r="L41" s="432">
        <f>SUM(L33:L40)</f>
        <v>910270.2731639999</v>
      </c>
      <c r="M41" s="606">
        <f>SUM(M33:M40)</f>
        <v>911686.84703600011</v>
      </c>
      <c r="N41" s="607">
        <f>SUM(N33:N40)</f>
        <v>1416.57387200019</v>
      </c>
      <c r="O41" s="211">
        <f t="shared" si="17"/>
        <v>1.5562123841266773E-3</v>
      </c>
      <c r="P41" s="171"/>
      <c r="Q41" s="432">
        <f>SUM(Q33:Q40)</f>
        <v>937444.58803199988</v>
      </c>
      <c r="R41" s="606">
        <f>SUM(R33:R40)</f>
        <v>1218397.5099119998</v>
      </c>
      <c r="S41" s="607">
        <f>SUM(S33:S40)</f>
        <v>280952.92187999992</v>
      </c>
      <c r="T41" s="211">
        <f t="shared" si="19"/>
        <v>0.29970083081903665</v>
      </c>
      <c r="U41" s="783"/>
      <c r="V41" s="432">
        <f>SUM(V33:V40)</f>
        <v>3620605.9872440002</v>
      </c>
      <c r="W41" s="433">
        <f>SUM(W33:W40)</f>
        <v>3879999.5182419997</v>
      </c>
      <c r="X41" s="433">
        <f>SUM(X33:X40)</f>
        <v>259393.53099799945</v>
      </c>
      <c r="Y41" s="211">
        <f t="shared" si="21"/>
        <v>7.1643678409604963E-2</v>
      </c>
      <c r="Z41" s="171"/>
      <c r="AA41" s="434">
        <f>SUM(AA33:AA40)</f>
        <v>3620605.9872440002</v>
      </c>
      <c r="AB41" s="434">
        <f>SUM(AB33:AB40)</f>
        <v>-259393.53099799945</v>
      </c>
      <c r="AC41" s="238">
        <f t="shared" si="23"/>
        <v>-7.1643678409604963E-2</v>
      </c>
      <c r="AD41" s="783"/>
      <c r="AE41" s="1512"/>
    </row>
    <row r="42" spans="1:31" x14ac:dyDescent="0.3">
      <c r="A42" s="488"/>
      <c r="B42" s="566"/>
      <c r="C42" s="423"/>
      <c r="D42" s="423"/>
      <c r="E42" s="481"/>
      <c r="F42" s="166"/>
      <c r="G42" s="424"/>
      <c r="H42" s="425"/>
      <c r="I42" s="425"/>
      <c r="J42" s="493"/>
      <c r="K42" s="166"/>
      <c r="L42" s="424"/>
      <c r="M42" s="608"/>
      <c r="N42" s="609"/>
      <c r="O42" s="481"/>
      <c r="P42" s="166"/>
      <c r="Q42" s="424"/>
      <c r="R42" s="425"/>
      <c r="S42" s="425"/>
      <c r="T42" s="493"/>
      <c r="U42" s="782"/>
      <c r="V42" s="422"/>
      <c r="W42" s="423"/>
      <c r="X42" s="423"/>
      <c r="Y42" s="187"/>
      <c r="Z42" s="166"/>
      <c r="AA42" s="422"/>
      <c r="AB42" s="423"/>
      <c r="AC42" s="191"/>
      <c r="AD42" s="782"/>
      <c r="AE42" s="1257"/>
    </row>
    <row r="43" spans="1:31" x14ac:dyDescent="0.3">
      <c r="A43" s="483" t="s">
        <v>84</v>
      </c>
      <c r="B43" s="571"/>
      <c r="C43" s="445"/>
      <c r="D43" s="445"/>
      <c r="E43" s="494"/>
      <c r="F43" s="160"/>
      <c r="G43" s="446"/>
      <c r="H43" s="447"/>
      <c r="I43" s="447"/>
      <c r="J43" s="495"/>
      <c r="K43" s="160"/>
      <c r="L43" s="446"/>
      <c r="M43" s="620"/>
      <c r="N43" s="621"/>
      <c r="O43" s="494"/>
      <c r="P43" s="160"/>
      <c r="Q43" s="446"/>
      <c r="R43" s="447"/>
      <c r="S43" s="447"/>
      <c r="T43" s="495"/>
      <c r="U43" s="781"/>
      <c r="V43" s="444"/>
      <c r="W43" s="445"/>
      <c r="X43" s="415"/>
      <c r="Y43" s="225"/>
      <c r="Z43" s="160"/>
      <c r="AA43" s="444"/>
      <c r="AB43" s="415"/>
      <c r="AC43" s="199"/>
      <c r="AD43" s="781"/>
      <c r="AE43" s="1257"/>
    </row>
    <row r="44" spans="1:31" x14ac:dyDescent="0.3">
      <c r="A44" s="476" t="s">
        <v>85</v>
      </c>
      <c r="B44" s="604">
        <v>537.64</v>
      </c>
      <c r="C44" s="604">
        <v>2429.2725759999998</v>
      </c>
      <c r="D44" s="415">
        <f t="shared" ref="D44:D75" si="28">C44-B44</f>
        <v>1891.632576</v>
      </c>
      <c r="E44" s="196">
        <f t="shared" ref="E44:E51" si="29">IF(ISERROR(D44/B44),"-",D44/B44)</f>
        <v>3.5184000000000002</v>
      </c>
      <c r="F44" s="171"/>
      <c r="G44" s="426">
        <v>0</v>
      </c>
      <c r="H44" s="427">
        <v>0</v>
      </c>
      <c r="I44" s="415">
        <f t="shared" ref="I44:I75" si="30">H44-G44</f>
        <v>0</v>
      </c>
      <c r="J44" s="197" t="str">
        <f t="shared" ref="J44:J51" si="31">IF(ISERROR(I44/G44),"-",I44/G44)</f>
        <v>-</v>
      </c>
      <c r="K44" s="171"/>
      <c r="L44" s="426">
        <v>0</v>
      </c>
      <c r="M44" s="616">
        <v>0</v>
      </c>
      <c r="N44" s="415">
        <f t="shared" ref="N44:N75" si="32">M44-L44</f>
        <v>0</v>
      </c>
      <c r="O44" s="194" t="str">
        <f t="shared" ref="O44:O51" si="33">IF(ISERROR(N44/L44),"-",N44/L44)</f>
        <v>-</v>
      </c>
      <c r="P44" s="171"/>
      <c r="Q44" s="426">
        <v>0</v>
      </c>
      <c r="R44" s="427">
        <v>2854.4382879999998</v>
      </c>
      <c r="S44" s="415">
        <f t="shared" ref="S44:S75" si="34">R44-Q44</f>
        <v>2854.4382879999998</v>
      </c>
      <c r="T44" s="195" t="str">
        <f t="shared" ref="T44:T51" si="35">IF(ISERROR(S44/Q44),"-",S44/Q44)</f>
        <v>-</v>
      </c>
      <c r="U44" s="783"/>
      <c r="V44" s="626">
        <f>B44+G44+L44+Q44</f>
        <v>537.64</v>
      </c>
      <c r="W44" s="415">
        <f>C44+H44+M44+R44</f>
        <v>5283.7108639999997</v>
      </c>
      <c r="X44" s="415">
        <f>W44-V44</f>
        <v>4746.0708639999993</v>
      </c>
      <c r="Y44" s="194">
        <f>IF(ISERROR(X44/V44),"-",X44/V44)</f>
        <v>8.8275999999999986</v>
      </c>
      <c r="Z44" s="171"/>
      <c r="AA44" s="414">
        <v>0</v>
      </c>
      <c r="AB44" s="415">
        <f t="shared" ref="AB44:AB50" si="36">AA44-W44</f>
        <v>-5283.7108639999997</v>
      </c>
      <c r="AC44" s="196" t="str">
        <f t="shared" ref="AC44:AC50" si="37">IF(ISERROR(AB44/AA44),"-",AB44/AA44)</f>
        <v>-</v>
      </c>
      <c r="AD44" s="783"/>
      <c r="AE44" s="1517"/>
    </row>
    <row r="45" spans="1:31" x14ac:dyDescent="0.3">
      <c r="A45" s="476" t="s">
        <v>128</v>
      </c>
      <c r="B45" s="604">
        <v>0</v>
      </c>
      <c r="C45" s="604">
        <v>0</v>
      </c>
      <c r="D45" s="415">
        <f t="shared" si="28"/>
        <v>0</v>
      </c>
      <c r="E45" s="196" t="str">
        <f t="shared" si="29"/>
        <v>-</v>
      </c>
      <c r="F45" s="230"/>
      <c r="G45" s="426">
        <v>0</v>
      </c>
      <c r="H45" s="427">
        <v>0</v>
      </c>
      <c r="I45" s="415">
        <f t="shared" si="30"/>
        <v>0</v>
      </c>
      <c r="J45" s="197" t="str">
        <f t="shared" si="31"/>
        <v>-</v>
      </c>
      <c r="K45" s="230"/>
      <c r="L45" s="426">
        <v>0</v>
      </c>
      <c r="M45" s="616">
        <v>0</v>
      </c>
      <c r="N45" s="415">
        <f t="shared" si="32"/>
        <v>0</v>
      </c>
      <c r="O45" s="194" t="str">
        <f t="shared" si="33"/>
        <v>-</v>
      </c>
      <c r="P45" s="230"/>
      <c r="Q45" s="426">
        <v>38306.850000000006</v>
      </c>
      <c r="R45" s="616">
        <v>30345.503762</v>
      </c>
      <c r="S45" s="415">
        <f t="shared" si="34"/>
        <v>-7961.3462380000055</v>
      </c>
      <c r="T45" s="195">
        <f t="shared" si="35"/>
        <v>-0.20783087719298257</v>
      </c>
      <c r="U45" s="785"/>
      <c r="V45" s="626">
        <f t="shared" ref="V45:V75" si="38">B45+G45+L45+Q45</f>
        <v>38306.850000000006</v>
      </c>
      <c r="W45" s="415">
        <f t="shared" ref="W45:W75" si="39">C45+H45+M45+R45</f>
        <v>30345.503762</v>
      </c>
      <c r="X45" s="415">
        <f t="shared" ref="X45:X75" si="40">W45-V45</f>
        <v>-7961.3462380000055</v>
      </c>
      <c r="Y45" s="194">
        <f t="shared" ref="Y45:Y76" si="41">IF(ISERROR(X45/V45),"-",X45/V45)</f>
        <v>-0.20783087719298257</v>
      </c>
      <c r="Z45" s="230"/>
      <c r="AA45" s="414">
        <v>31586.350000000002</v>
      </c>
      <c r="AB45" s="415">
        <f t="shared" si="36"/>
        <v>1240.8462380000019</v>
      </c>
      <c r="AC45" s="196">
        <f t="shared" si="37"/>
        <v>3.9284255319148996E-2</v>
      </c>
      <c r="AD45" s="785"/>
      <c r="AE45" s="1515"/>
    </row>
    <row r="46" spans="1:31" x14ac:dyDescent="0.3">
      <c r="A46" s="476" t="s">
        <v>127</v>
      </c>
      <c r="B46" s="604">
        <v>0</v>
      </c>
      <c r="C46" s="604">
        <v>0</v>
      </c>
      <c r="D46" s="415">
        <f t="shared" si="28"/>
        <v>0</v>
      </c>
      <c r="E46" s="196" t="str">
        <f t="shared" si="29"/>
        <v>-</v>
      </c>
      <c r="F46" s="230"/>
      <c r="G46" s="595">
        <v>0</v>
      </c>
      <c r="H46" s="598">
        <v>0</v>
      </c>
      <c r="I46" s="415">
        <f t="shared" si="30"/>
        <v>0</v>
      </c>
      <c r="J46" s="197" t="str">
        <f t="shared" si="31"/>
        <v>-</v>
      </c>
      <c r="K46" s="230"/>
      <c r="L46" s="595">
        <v>0</v>
      </c>
      <c r="M46" s="610">
        <v>0</v>
      </c>
      <c r="N46" s="415">
        <f t="shared" si="32"/>
        <v>0</v>
      </c>
      <c r="O46" s="266" t="str">
        <f t="shared" si="33"/>
        <v>-</v>
      </c>
      <c r="P46" s="230"/>
      <c r="Q46" s="552">
        <v>0</v>
      </c>
      <c r="R46" s="616">
        <v>0</v>
      </c>
      <c r="S46" s="415">
        <f t="shared" si="34"/>
        <v>0</v>
      </c>
      <c r="T46" s="267" t="str">
        <f t="shared" si="35"/>
        <v>-</v>
      </c>
      <c r="U46" s="785"/>
      <c r="V46" s="626">
        <f t="shared" si="38"/>
        <v>0</v>
      </c>
      <c r="W46" s="415">
        <f t="shared" si="39"/>
        <v>0</v>
      </c>
      <c r="X46" s="415">
        <f t="shared" si="40"/>
        <v>0</v>
      </c>
      <c r="Y46" s="194" t="str">
        <f t="shared" si="41"/>
        <v>-</v>
      </c>
      <c r="Z46" s="230"/>
      <c r="AA46" s="414">
        <v>0</v>
      </c>
      <c r="AB46" s="415">
        <f t="shared" si="36"/>
        <v>0</v>
      </c>
      <c r="AC46" s="196" t="str">
        <f t="shared" si="37"/>
        <v>-</v>
      </c>
      <c r="AD46" s="785"/>
      <c r="AE46" s="1257"/>
    </row>
    <row r="47" spans="1:31" x14ac:dyDescent="0.3">
      <c r="A47" s="476" t="s">
        <v>86</v>
      </c>
      <c r="B47" s="604">
        <v>147704.116752</v>
      </c>
      <c r="C47" s="604">
        <v>128099.10103400002</v>
      </c>
      <c r="D47" s="415">
        <f t="shared" si="28"/>
        <v>-19605.015717999981</v>
      </c>
      <c r="E47" s="196">
        <f t="shared" si="29"/>
        <v>-0.13273168107370656</v>
      </c>
      <c r="F47" s="230"/>
      <c r="G47" s="426">
        <v>164648.54028400002</v>
      </c>
      <c r="H47" s="427">
        <v>119075.88891400001</v>
      </c>
      <c r="I47" s="415">
        <f t="shared" si="30"/>
        <v>-45572.651370000007</v>
      </c>
      <c r="J47" s="197">
        <f t="shared" si="31"/>
        <v>-0.27678746068074678</v>
      </c>
      <c r="K47" s="230"/>
      <c r="L47" s="426">
        <v>122575.06508999999</v>
      </c>
      <c r="M47" s="616">
        <v>101699.17594</v>
      </c>
      <c r="N47" s="415">
        <f t="shared" si="32"/>
        <v>-20875.889149999988</v>
      </c>
      <c r="O47" s="194">
        <f t="shared" si="33"/>
        <v>-0.17031105906141672</v>
      </c>
      <c r="P47" s="230"/>
      <c r="Q47" s="426">
        <v>93957.751344000004</v>
      </c>
      <c r="R47" s="616">
        <v>81995.207580000002</v>
      </c>
      <c r="S47" s="415">
        <f t="shared" si="34"/>
        <v>-11962.543764000002</v>
      </c>
      <c r="T47" s="195">
        <f t="shared" si="35"/>
        <v>-0.12731832757685416</v>
      </c>
      <c r="U47" s="785"/>
      <c r="V47" s="626">
        <f t="shared" si="38"/>
        <v>528885.47347000008</v>
      </c>
      <c r="W47" s="415">
        <f t="shared" si="39"/>
        <v>430869.37346800003</v>
      </c>
      <c r="X47" s="415">
        <f t="shared" si="40"/>
        <v>-98016.10000200005</v>
      </c>
      <c r="Y47" s="194">
        <f t="shared" si="41"/>
        <v>-0.1853257556100372</v>
      </c>
      <c r="Z47" s="230"/>
      <c r="AA47" s="414">
        <v>528885.47412499995</v>
      </c>
      <c r="AB47" s="415">
        <f t="shared" si="36"/>
        <v>98016.100656999915</v>
      </c>
      <c r="AC47" s="196">
        <f t="shared" si="37"/>
        <v>0.18532575661897308</v>
      </c>
      <c r="AD47" s="785"/>
      <c r="AE47" s="1513"/>
    </row>
    <row r="48" spans="1:31" x14ac:dyDescent="0.3">
      <c r="A48" s="476" t="s">
        <v>87</v>
      </c>
      <c r="B48" s="604">
        <v>22043.24</v>
      </c>
      <c r="C48" s="604">
        <v>55817.112750000008</v>
      </c>
      <c r="D48" s="415">
        <f t="shared" si="28"/>
        <v>33773.87275000001</v>
      </c>
      <c r="E48" s="196">
        <f t="shared" si="29"/>
        <v>1.5321646341463417</v>
      </c>
      <c r="F48" s="230"/>
      <c r="G48" s="426">
        <v>22043.24</v>
      </c>
      <c r="H48" s="427">
        <v>18737.372286000002</v>
      </c>
      <c r="I48" s="415">
        <f t="shared" si="30"/>
        <v>-3305.867714</v>
      </c>
      <c r="J48" s="197">
        <f t="shared" si="31"/>
        <v>-0.14997195121951218</v>
      </c>
      <c r="K48" s="230"/>
      <c r="L48" s="426">
        <v>44086.48</v>
      </c>
      <c r="M48" s="616">
        <v>62308.013588000009</v>
      </c>
      <c r="N48" s="415">
        <f t="shared" si="32"/>
        <v>18221.533588000006</v>
      </c>
      <c r="O48" s="266">
        <f t="shared" si="33"/>
        <v>0.41331341463414645</v>
      </c>
      <c r="P48" s="230"/>
      <c r="Q48" s="426">
        <v>52151.08</v>
      </c>
      <c r="R48" s="616">
        <v>108537.68792000001</v>
      </c>
      <c r="S48" s="415">
        <f t="shared" si="34"/>
        <v>56386.607920000009</v>
      </c>
      <c r="T48" s="195">
        <f t="shared" si="35"/>
        <v>1.0812164948453609</v>
      </c>
      <c r="U48" s="785"/>
      <c r="V48" s="626">
        <f t="shared" si="38"/>
        <v>140324.04</v>
      </c>
      <c r="W48" s="415">
        <f t="shared" si="39"/>
        <v>245400.18654400005</v>
      </c>
      <c r="X48" s="415">
        <f t="shared" si="40"/>
        <v>105076.14654400005</v>
      </c>
      <c r="Y48" s="194">
        <f t="shared" si="41"/>
        <v>0.748810727969349</v>
      </c>
      <c r="Z48" s="230"/>
      <c r="AA48" s="414">
        <v>0</v>
      </c>
      <c r="AB48" s="415">
        <f t="shared" si="36"/>
        <v>-245400.18654400005</v>
      </c>
      <c r="AC48" s="196" t="str">
        <f t="shared" si="37"/>
        <v>-</v>
      </c>
      <c r="AD48" s="785"/>
      <c r="AE48" s="1514"/>
    </row>
    <row r="49" spans="1:31" x14ac:dyDescent="0.3">
      <c r="A49" s="476" t="s">
        <v>88</v>
      </c>
      <c r="B49" s="604">
        <v>5645.22</v>
      </c>
      <c r="C49" s="604">
        <v>3718.4526500000002</v>
      </c>
      <c r="D49" s="415">
        <f t="shared" si="28"/>
        <v>-1926.7673500000001</v>
      </c>
      <c r="E49" s="196">
        <f t="shared" si="29"/>
        <v>-0.34130952380952378</v>
      </c>
      <c r="F49" s="171"/>
      <c r="G49" s="426">
        <v>5645.22</v>
      </c>
      <c r="H49" s="427">
        <v>3757.5390780000002</v>
      </c>
      <c r="I49" s="415">
        <f t="shared" si="30"/>
        <v>-1887.680922</v>
      </c>
      <c r="J49" s="197">
        <f t="shared" si="31"/>
        <v>-0.33438571428571429</v>
      </c>
      <c r="K49" s="171"/>
      <c r="L49" s="426">
        <v>5645.22</v>
      </c>
      <c r="M49" s="616">
        <v>3829.314018</v>
      </c>
      <c r="N49" s="415">
        <f t="shared" si="32"/>
        <v>-1815.9059820000002</v>
      </c>
      <c r="O49" s="194">
        <f t="shared" si="33"/>
        <v>-0.32167142857142861</v>
      </c>
      <c r="P49" s="171"/>
      <c r="Q49" s="426">
        <v>5645.22</v>
      </c>
      <c r="R49" s="616">
        <v>3692.941632</v>
      </c>
      <c r="S49" s="415">
        <f t="shared" si="34"/>
        <v>-1952.2783680000002</v>
      </c>
      <c r="T49" s="195">
        <f t="shared" si="35"/>
        <v>-0.34582857142857143</v>
      </c>
      <c r="U49" s="783"/>
      <c r="V49" s="626">
        <f t="shared" si="38"/>
        <v>22580.880000000001</v>
      </c>
      <c r="W49" s="415">
        <f t="shared" si="39"/>
        <v>14998.247378000002</v>
      </c>
      <c r="X49" s="415">
        <f t="shared" si="40"/>
        <v>-7582.6326219999992</v>
      </c>
      <c r="Y49" s="194">
        <f t="shared" si="41"/>
        <v>-0.33579880952380947</v>
      </c>
      <c r="Z49" s="171"/>
      <c r="AA49" s="414">
        <v>22580.880000000005</v>
      </c>
      <c r="AB49" s="415">
        <f t="shared" si="36"/>
        <v>7582.6326220000028</v>
      </c>
      <c r="AC49" s="196">
        <f t="shared" si="37"/>
        <v>0.33579880952380958</v>
      </c>
      <c r="AD49" s="783"/>
      <c r="AE49" s="1515"/>
    </row>
    <row r="50" spans="1:31" x14ac:dyDescent="0.3">
      <c r="A50" s="476" t="s">
        <v>89</v>
      </c>
      <c r="B50" s="604">
        <v>9408.7000000000007</v>
      </c>
      <c r="C50" s="604">
        <v>10061.717543999999</v>
      </c>
      <c r="D50" s="415">
        <f t="shared" si="28"/>
        <v>653.01754399999845</v>
      </c>
      <c r="E50" s="196">
        <f t="shared" si="29"/>
        <v>6.9405714285714112E-2</v>
      </c>
      <c r="F50" s="171"/>
      <c r="G50" s="426">
        <v>209814.01</v>
      </c>
      <c r="H50" s="427">
        <v>204324.70559999999</v>
      </c>
      <c r="I50" s="415">
        <f t="shared" si="30"/>
        <v>-5489.3044000000227</v>
      </c>
      <c r="J50" s="197">
        <f t="shared" si="31"/>
        <v>-2.6162716207559365E-2</v>
      </c>
      <c r="K50" s="171"/>
      <c r="L50" s="426">
        <v>100807.5</v>
      </c>
      <c r="M50" s="616">
        <v>-2037.6556</v>
      </c>
      <c r="N50" s="415">
        <f t="shared" si="32"/>
        <v>-102845.1556</v>
      </c>
      <c r="O50" s="194">
        <f t="shared" si="33"/>
        <v>-1.0202133333333334</v>
      </c>
      <c r="P50" s="171"/>
      <c r="Q50" s="552">
        <v>641189.46400000004</v>
      </c>
      <c r="R50" s="610">
        <v>294494.99820000003</v>
      </c>
      <c r="S50" s="415">
        <f t="shared" si="34"/>
        <v>-346694.46580000001</v>
      </c>
      <c r="T50" s="195">
        <f t="shared" si="35"/>
        <v>-0.54070518195539152</v>
      </c>
      <c r="U50" s="783"/>
      <c r="V50" s="626">
        <f t="shared" si="38"/>
        <v>961219.67400000012</v>
      </c>
      <c r="W50" s="415">
        <f t="shared" si="39"/>
        <v>506843.76574400003</v>
      </c>
      <c r="X50" s="415">
        <f t="shared" si="40"/>
        <v>-454375.90825600008</v>
      </c>
      <c r="Y50" s="194">
        <f t="shared" si="41"/>
        <v>-0.47270766563190425</v>
      </c>
      <c r="Z50" s="171"/>
      <c r="AA50" s="414">
        <v>0</v>
      </c>
      <c r="AB50" s="415">
        <f t="shared" si="36"/>
        <v>-506843.76574400003</v>
      </c>
      <c r="AC50" s="196" t="str">
        <f t="shared" si="37"/>
        <v>-</v>
      </c>
      <c r="AD50" s="783"/>
      <c r="AE50" s="1270"/>
    </row>
    <row r="51" spans="1:31" x14ac:dyDescent="0.3">
      <c r="A51" s="476" t="s">
        <v>113</v>
      </c>
      <c r="B51" s="604">
        <v>0</v>
      </c>
      <c r="C51" s="604">
        <v>0</v>
      </c>
      <c r="D51" s="415">
        <f t="shared" si="28"/>
        <v>0</v>
      </c>
      <c r="E51" s="196" t="str">
        <f t="shared" si="29"/>
        <v>-</v>
      </c>
      <c r="F51" s="171"/>
      <c r="G51" s="426">
        <v>0</v>
      </c>
      <c r="H51" s="427">
        <v>0</v>
      </c>
      <c r="I51" s="415">
        <f t="shared" si="30"/>
        <v>0</v>
      </c>
      <c r="J51" s="197" t="str">
        <f t="shared" si="31"/>
        <v>-</v>
      </c>
      <c r="K51" s="171"/>
      <c r="L51" s="426">
        <v>0</v>
      </c>
      <c r="M51" s="616">
        <v>0</v>
      </c>
      <c r="N51" s="415">
        <f t="shared" si="32"/>
        <v>0</v>
      </c>
      <c r="O51" s="194" t="str">
        <f t="shared" si="33"/>
        <v>-</v>
      </c>
      <c r="P51" s="171"/>
      <c r="Q51" s="426">
        <v>0</v>
      </c>
      <c r="R51" s="616">
        <v>0</v>
      </c>
      <c r="S51" s="415">
        <f t="shared" si="34"/>
        <v>0</v>
      </c>
      <c r="T51" s="195" t="str">
        <f t="shared" si="35"/>
        <v>-</v>
      </c>
      <c r="U51" s="783"/>
      <c r="V51" s="626">
        <f t="shared" si="38"/>
        <v>0</v>
      </c>
      <c r="W51" s="415">
        <f t="shared" si="39"/>
        <v>0</v>
      </c>
      <c r="X51" s="415">
        <f t="shared" si="40"/>
        <v>0</v>
      </c>
      <c r="Y51" s="194" t="str">
        <f t="shared" si="41"/>
        <v>-</v>
      </c>
      <c r="Z51" s="171"/>
      <c r="AA51" s="414">
        <v>0</v>
      </c>
      <c r="AB51" s="415"/>
      <c r="AC51" s="196"/>
      <c r="AD51" s="783"/>
      <c r="AE51" s="1270"/>
    </row>
    <row r="52" spans="1:31" x14ac:dyDescent="0.3">
      <c r="A52" s="476" t="s">
        <v>126</v>
      </c>
      <c r="B52" s="604">
        <v>0</v>
      </c>
      <c r="C52" s="604">
        <v>0</v>
      </c>
      <c r="D52" s="415">
        <f t="shared" si="28"/>
        <v>0</v>
      </c>
      <c r="E52" s="196" t="str">
        <f>IF(ISERROR(D52/B52),"-",D52/B52)</f>
        <v>-</v>
      </c>
      <c r="F52" s="230"/>
      <c r="G52" s="599">
        <v>0</v>
      </c>
      <c r="H52" s="600">
        <v>0</v>
      </c>
      <c r="I52" s="415">
        <f t="shared" si="30"/>
        <v>0</v>
      </c>
      <c r="J52" s="197" t="str">
        <f>IF(ISERROR(I52/G52),"-",I52/G52)</f>
        <v>-</v>
      </c>
      <c r="K52" s="230"/>
      <c r="L52" s="599">
        <v>0</v>
      </c>
      <c r="M52" s="622">
        <v>0</v>
      </c>
      <c r="N52" s="415">
        <f t="shared" si="32"/>
        <v>0</v>
      </c>
      <c r="O52" s="194" t="str">
        <f>IF(ISERROR(N52/L52),"-",N52/L52)</f>
        <v>-</v>
      </c>
      <c r="P52" s="230"/>
      <c r="Q52" s="552">
        <v>339869.85181400005</v>
      </c>
      <c r="R52" s="616">
        <v>305279.94907199999</v>
      </c>
      <c r="S52" s="415">
        <f t="shared" si="34"/>
        <v>-34589.902742000064</v>
      </c>
      <c r="T52" s="195">
        <f>IF(ISERROR(S52/Q52),"-",S52/Q52)</f>
        <v>-0.10177396599722537</v>
      </c>
      <c r="U52" s="785"/>
      <c r="V52" s="626">
        <f t="shared" si="38"/>
        <v>339869.85181400005</v>
      </c>
      <c r="W52" s="415">
        <f t="shared" si="39"/>
        <v>305279.94907199999</v>
      </c>
      <c r="X52" s="415">
        <f t="shared" si="40"/>
        <v>-34589.902742000064</v>
      </c>
      <c r="Y52" s="194">
        <f t="shared" si="41"/>
        <v>-0.10177396599722537</v>
      </c>
      <c r="Z52" s="230"/>
      <c r="AA52" s="414">
        <v>487439.44284539047</v>
      </c>
      <c r="AB52" s="415">
        <f>AA52-W52</f>
        <v>182159.49377339048</v>
      </c>
      <c r="AC52" s="196">
        <f>IF(ISERROR(AB52/AA52),"-",AB52/AA52)</f>
        <v>0.37370692184868826</v>
      </c>
      <c r="AD52" s="785"/>
      <c r="AE52" s="1514"/>
    </row>
    <row r="53" spans="1:31" x14ac:dyDescent="0.3">
      <c r="A53" s="476" t="s">
        <v>82</v>
      </c>
      <c r="B53" s="604">
        <v>0</v>
      </c>
      <c r="C53" s="604">
        <v>0</v>
      </c>
      <c r="D53" s="415">
        <f t="shared" si="28"/>
        <v>0</v>
      </c>
      <c r="E53" s="196" t="str">
        <f>IF(ISERROR(D53/B53),"-",D53/B53)</f>
        <v>-</v>
      </c>
      <c r="F53" s="230"/>
      <c r="G53" s="599">
        <v>0</v>
      </c>
      <c r="H53" s="600">
        <v>0</v>
      </c>
      <c r="I53" s="415">
        <f t="shared" si="30"/>
        <v>0</v>
      </c>
      <c r="J53" s="197" t="str">
        <f>IF(ISERROR(I53/G53),"-",I53/G53)</f>
        <v>-</v>
      </c>
      <c r="K53" s="230"/>
      <c r="L53" s="599">
        <v>0</v>
      </c>
      <c r="M53" s="622">
        <v>0</v>
      </c>
      <c r="N53" s="415">
        <f t="shared" si="32"/>
        <v>0</v>
      </c>
      <c r="O53" s="194" t="str">
        <f>IF(ISERROR(N53/L53),"-",N53/L53)</f>
        <v>-</v>
      </c>
      <c r="P53" s="230"/>
      <c r="Q53" s="552">
        <v>0</v>
      </c>
      <c r="R53" s="610">
        <v>0</v>
      </c>
      <c r="S53" s="415">
        <f t="shared" si="34"/>
        <v>0</v>
      </c>
      <c r="T53" s="195" t="str">
        <f>IF(ISERROR(S53/Q53),"-",S53/Q53)</f>
        <v>-</v>
      </c>
      <c r="U53" s="785"/>
      <c r="V53" s="626">
        <f t="shared" si="38"/>
        <v>0</v>
      </c>
      <c r="W53" s="415">
        <f t="shared" si="39"/>
        <v>0</v>
      </c>
      <c r="X53" s="415">
        <f t="shared" si="40"/>
        <v>0</v>
      </c>
      <c r="Y53" s="194" t="str">
        <f t="shared" si="41"/>
        <v>-</v>
      </c>
      <c r="Z53" s="230"/>
      <c r="AA53" s="414">
        <v>140324.04</v>
      </c>
      <c r="AB53" s="415">
        <f>AA53-W53</f>
        <v>140324.04</v>
      </c>
      <c r="AC53" s="196">
        <f>IF(ISERROR(AB53/AA53),"-",AB53/AA53)</f>
        <v>1</v>
      </c>
      <c r="AD53" s="785"/>
      <c r="AE53" s="1258"/>
    </row>
    <row r="54" spans="1:31" x14ac:dyDescent="0.3">
      <c r="A54" s="476" t="s">
        <v>125</v>
      </c>
      <c r="B54" s="604">
        <v>0</v>
      </c>
      <c r="C54" s="604">
        <v>0</v>
      </c>
      <c r="D54" s="415">
        <f t="shared" si="28"/>
        <v>0</v>
      </c>
      <c r="E54" s="196" t="str">
        <f>IF(ISERROR(D54/B54),"-",D54/B54)</f>
        <v>-</v>
      </c>
      <c r="F54" s="230"/>
      <c r="G54" s="601">
        <v>0</v>
      </c>
      <c r="H54" s="600">
        <v>0</v>
      </c>
      <c r="I54" s="415">
        <f t="shared" si="30"/>
        <v>0</v>
      </c>
      <c r="J54" s="197" t="str">
        <f>IF(ISERROR(I54/G54),"-",I54/G54)</f>
        <v>-</v>
      </c>
      <c r="K54" s="230"/>
      <c r="L54" s="601">
        <v>0</v>
      </c>
      <c r="M54" s="622">
        <v>0</v>
      </c>
      <c r="N54" s="415">
        <f t="shared" si="32"/>
        <v>0</v>
      </c>
      <c r="O54" s="194" t="str">
        <f>IF(ISERROR(N54/L54),"-",N54/L54)</f>
        <v>-</v>
      </c>
      <c r="P54" s="230" t="s">
        <v>65</v>
      </c>
      <c r="Q54" s="552">
        <v>0</v>
      </c>
      <c r="R54" s="616">
        <v>0</v>
      </c>
      <c r="S54" s="415">
        <f t="shared" si="34"/>
        <v>0</v>
      </c>
      <c r="T54" s="195" t="str">
        <f>IF(ISERROR(S54/Q54),"-",S54/Q54)</f>
        <v>-</v>
      </c>
      <c r="U54" s="785"/>
      <c r="V54" s="626">
        <f t="shared" si="38"/>
        <v>0</v>
      </c>
      <c r="W54" s="415">
        <f t="shared" si="39"/>
        <v>0</v>
      </c>
      <c r="X54" s="415">
        <f t="shared" si="40"/>
        <v>0</v>
      </c>
      <c r="Y54" s="194" t="str">
        <f t="shared" si="41"/>
        <v>-</v>
      </c>
      <c r="Z54" s="230"/>
      <c r="AA54" s="414"/>
      <c r="AB54" s="415">
        <f>AA54-W54</f>
        <v>0</v>
      </c>
      <c r="AC54" s="196" t="str">
        <f>IF(ISERROR(AB54/AA54),"-",AB54/AA54)</f>
        <v>-</v>
      </c>
      <c r="AD54" s="785"/>
      <c r="AE54" s="1258"/>
    </row>
    <row r="55" spans="1:31" x14ac:dyDescent="0.3">
      <c r="A55" s="476" t="s">
        <v>90</v>
      </c>
      <c r="B55" s="604">
        <v>0</v>
      </c>
      <c r="C55" s="604">
        <v>0</v>
      </c>
      <c r="D55" s="415">
        <f t="shared" si="28"/>
        <v>0</v>
      </c>
      <c r="E55" s="196" t="str">
        <f t="shared" ref="E55:E76" si="42">IF(ISERROR(D55/B55),"-",D55/B55)</f>
        <v>-</v>
      </c>
      <c r="F55" s="230"/>
      <c r="G55" s="599">
        <v>0</v>
      </c>
      <c r="H55" s="600">
        <v>0</v>
      </c>
      <c r="I55" s="415">
        <f t="shared" si="30"/>
        <v>0</v>
      </c>
      <c r="J55" s="197" t="str">
        <f t="shared" ref="J55:J75" si="43">IF(ISERROR(I55/G55),"-",I55/G55)</f>
        <v>-</v>
      </c>
      <c r="K55" s="230"/>
      <c r="L55" s="599">
        <v>0</v>
      </c>
      <c r="M55" s="396">
        <v>0</v>
      </c>
      <c r="N55" s="415">
        <f t="shared" si="32"/>
        <v>0</v>
      </c>
      <c r="O55" s="194" t="str">
        <f t="shared" ref="O55:O72" si="44">IF(ISERROR(N55/L55),"-",N55/L55)</f>
        <v>-</v>
      </c>
      <c r="P55" s="230"/>
      <c r="Q55" s="552">
        <v>0</v>
      </c>
      <c r="R55" s="610">
        <v>0</v>
      </c>
      <c r="S55" s="415">
        <f t="shared" si="34"/>
        <v>0</v>
      </c>
      <c r="T55" s="195" t="str">
        <f t="shared" ref="T55:T72" si="45">IF(ISERROR(S55/Q55),"-",S55/Q55)</f>
        <v>-</v>
      </c>
      <c r="U55" s="785"/>
      <c r="V55" s="626">
        <f t="shared" si="38"/>
        <v>0</v>
      </c>
      <c r="W55" s="415">
        <f t="shared" si="39"/>
        <v>0</v>
      </c>
      <c r="X55" s="415">
        <f t="shared" si="40"/>
        <v>0</v>
      </c>
      <c r="Y55" s="194" t="str">
        <f t="shared" si="41"/>
        <v>-</v>
      </c>
      <c r="Z55" s="230"/>
      <c r="AA55" s="414">
        <v>0</v>
      </c>
      <c r="AB55" s="415">
        <v>0</v>
      </c>
      <c r="AC55" s="196" t="str">
        <f t="shared" ref="AC55:AC76" si="46">IF(ISERROR(AB55/AA55),"-",AB55/AA55)</f>
        <v>-</v>
      </c>
      <c r="AD55" s="785"/>
      <c r="AE55" s="1524"/>
    </row>
    <row r="56" spans="1:31" x14ac:dyDescent="0.3">
      <c r="A56" s="476" t="s">
        <v>91</v>
      </c>
      <c r="B56" s="604">
        <v>15497.473</v>
      </c>
      <c r="C56" s="604">
        <v>9321.4410280000011</v>
      </c>
      <c r="D56" s="415">
        <f t="shared" si="28"/>
        <v>-6176.0319719999989</v>
      </c>
      <c r="E56" s="196">
        <f t="shared" si="42"/>
        <v>-0.39851864700780565</v>
      </c>
      <c r="F56" s="230"/>
      <c r="G56" s="601">
        <v>12500.130000000001</v>
      </c>
      <c r="H56" s="600">
        <v>18216.883001999999</v>
      </c>
      <c r="I56" s="415">
        <f t="shared" si="30"/>
        <v>5716.7530019999977</v>
      </c>
      <c r="J56" s="197">
        <f t="shared" si="43"/>
        <v>0.45733548387096751</v>
      </c>
      <c r="K56" s="230"/>
      <c r="L56" s="601">
        <v>2419.38</v>
      </c>
      <c r="M56" s="396">
        <v>5853.3942080000006</v>
      </c>
      <c r="N56" s="415">
        <f t="shared" si="32"/>
        <v>3434.0142080000005</v>
      </c>
      <c r="O56" s="266">
        <f t="shared" si="44"/>
        <v>1.4193777777777778</v>
      </c>
      <c r="P56" s="230"/>
      <c r="Q56" s="426">
        <v>21102.370000000003</v>
      </c>
      <c r="R56" s="616">
        <v>22460.126056000001</v>
      </c>
      <c r="S56" s="415">
        <f t="shared" si="34"/>
        <v>1357.7560559999984</v>
      </c>
      <c r="T56" s="195">
        <f t="shared" si="45"/>
        <v>6.4341401273885268E-2</v>
      </c>
      <c r="U56" s="785"/>
      <c r="V56" s="626">
        <f t="shared" si="38"/>
        <v>51519.353000000003</v>
      </c>
      <c r="W56" s="415">
        <f t="shared" si="39"/>
        <v>55851.844294000002</v>
      </c>
      <c r="X56" s="415">
        <f t="shared" si="40"/>
        <v>4332.4912939999995</v>
      </c>
      <c r="Y56" s="194">
        <f t="shared" si="41"/>
        <v>8.4094442995043026E-2</v>
      </c>
      <c r="Z56" s="230"/>
      <c r="AA56" s="414">
        <v>59583.953000000009</v>
      </c>
      <c r="AB56" s="567">
        <f t="shared" ref="AB56:AB75" si="47">AA56-W56</f>
        <v>3732.1087060000064</v>
      </c>
      <c r="AC56" s="196">
        <f t="shared" si="46"/>
        <v>6.2636138055492993E-2</v>
      </c>
      <c r="AD56" s="785"/>
      <c r="AE56" s="1514"/>
    </row>
    <row r="57" spans="1:31" x14ac:dyDescent="0.3">
      <c r="A57" s="476" t="s">
        <v>92</v>
      </c>
      <c r="B57" s="604">
        <v>1209.69</v>
      </c>
      <c r="C57" s="604">
        <v>1044.3119360000001</v>
      </c>
      <c r="D57" s="415">
        <f t="shared" si="28"/>
        <v>-165.37806399999999</v>
      </c>
      <c r="E57" s="196">
        <f t="shared" si="42"/>
        <v>-0.13671111111111109</v>
      </c>
      <c r="F57" s="230"/>
      <c r="G57" s="601">
        <v>2957.02</v>
      </c>
      <c r="H57" s="602">
        <v>2691.5871320000001</v>
      </c>
      <c r="I57" s="415">
        <f t="shared" si="30"/>
        <v>-265.43286799999987</v>
      </c>
      <c r="J57" s="197">
        <f t="shared" si="43"/>
        <v>-8.9763636363636323E-2</v>
      </c>
      <c r="K57" s="230"/>
      <c r="L57" s="601">
        <v>167663.03400000001</v>
      </c>
      <c r="M57" s="396">
        <v>139719.19500000001</v>
      </c>
      <c r="N57" s="415">
        <f t="shared" si="32"/>
        <v>-27943.839000000007</v>
      </c>
      <c r="O57" s="266">
        <f t="shared" si="44"/>
        <v>-0.16666666666666669</v>
      </c>
      <c r="P57" s="230"/>
      <c r="Q57" s="552">
        <v>0</v>
      </c>
      <c r="R57" s="616">
        <v>2902.85277</v>
      </c>
      <c r="S57" s="415">
        <f t="shared" si="34"/>
        <v>2902.85277</v>
      </c>
      <c r="T57" s="267" t="str">
        <f t="shared" si="45"/>
        <v>-</v>
      </c>
      <c r="U57" s="785"/>
      <c r="V57" s="626">
        <f t="shared" si="38"/>
        <v>171829.74400000001</v>
      </c>
      <c r="W57" s="415">
        <f t="shared" si="39"/>
        <v>146357.946838</v>
      </c>
      <c r="X57" s="415">
        <f t="shared" si="40"/>
        <v>-25471.797162000003</v>
      </c>
      <c r="Y57" s="194">
        <f t="shared" si="41"/>
        <v>-0.14823857947434294</v>
      </c>
      <c r="Z57" s="230"/>
      <c r="AA57" s="414">
        <v>171829.74400000001</v>
      </c>
      <c r="AB57" s="567">
        <f t="shared" si="47"/>
        <v>25471.797162000003</v>
      </c>
      <c r="AC57" s="196">
        <f t="shared" si="46"/>
        <v>0.14823857947434294</v>
      </c>
      <c r="AD57" s="785"/>
      <c r="AE57" s="1269"/>
    </row>
    <row r="58" spans="1:31" x14ac:dyDescent="0.3">
      <c r="A58" s="476" t="s">
        <v>93</v>
      </c>
      <c r="B58" s="604">
        <v>20107.951056000002</v>
      </c>
      <c r="C58" s="604">
        <v>29332.993232000001</v>
      </c>
      <c r="D58" s="415">
        <f t="shared" si="28"/>
        <v>9225.042175999999</v>
      </c>
      <c r="E58" s="196">
        <f t="shared" si="42"/>
        <v>0.45877584196960453</v>
      </c>
      <c r="F58" s="230"/>
      <c r="G58" s="552">
        <v>79553.757457999993</v>
      </c>
      <c r="H58" s="598">
        <v>113866.91001000001</v>
      </c>
      <c r="I58" s="415">
        <f t="shared" si="30"/>
        <v>34313.152552000014</v>
      </c>
      <c r="J58" s="197">
        <f t="shared" si="43"/>
        <v>0.43132032538017417</v>
      </c>
      <c r="K58" s="230"/>
      <c r="L58" s="552">
        <v>22664.214200000002</v>
      </c>
      <c r="M58" s="610">
        <v>-24318.83</v>
      </c>
      <c r="N58" s="415">
        <f t="shared" si="32"/>
        <v>-46983.044200000004</v>
      </c>
      <c r="O58" s="194">
        <f t="shared" si="44"/>
        <v>-2.0730056548794882</v>
      </c>
      <c r="P58" s="230"/>
      <c r="Q58" s="552">
        <v>322529.42954000004</v>
      </c>
      <c r="R58" s="616">
        <v>115789.43000400001</v>
      </c>
      <c r="S58" s="415">
        <f t="shared" si="34"/>
        <v>-206739.99953600002</v>
      </c>
      <c r="T58" s="195">
        <f t="shared" si="45"/>
        <v>-0.64099576845082962</v>
      </c>
      <c r="U58" s="785"/>
      <c r="V58" s="626">
        <f t="shared" si="38"/>
        <v>444855.35225400003</v>
      </c>
      <c r="W58" s="415">
        <f t="shared" si="39"/>
        <v>234670.50324600001</v>
      </c>
      <c r="X58" s="415">
        <f t="shared" si="40"/>
        <v>-210184.84900800002</v>
      </c>
      <c r="Y58" s="194">
        <f t="shared" si="41"/>
        <v>-0.47247908324140003</v>
      </c>
      <c r="Z58" s="230"/>
      <c r="AA58" s="414">
        <v>418395.39965400007</v>
      </c>
      <c r="AB58" s="567">
        <f t="shared" si="47"/>
        <v>183724.89640800006</v>
      </c>
      <c r="AC58" s="196">
        <f t="shared" si="46"/>
        <v>0.4391178692689614</v>
      </c>
      <c r="AD58" s="785"/>
      <c r="AE58" s="1516"/>
    </row>
    <row r="59" spans="1:31" x14ac:dyDescent="0.3">
      <c r="A59" s="476" t="s">
        <v>94</v>
      </c>
      <c r="B59" s="604">
        <v>0</v>
      </c>
      <c r="C59" s="604">
        <v>0</v>
      </c>
      <c r="D59" s="415">
        <f t="shared" si="28"/>
        <v>0</v>
      </c>
      <c r="E59" s="196" t="str">
        <f t="shared" si="42"/>
        <v>-</v>
      </c>
      <c r="F59" s="230"/>
      <c r="G59" s="426">
        <v>0</v>
      </c>
      <c r="H59" s="427">
        <v>0</v>
      </c>
      <c r="I59" s="415">
        <f t="shared" si="30"/>
        <v>0</v>
      </c>
      <c r="J59" s="197" t="str">
        <f t="shared" si="43"/>
        <v>-</v>
      </c>
      <c r="K59" s="230"/>
      <c r="L59" s="426">
        <v>0</v>
      </c>
      <c r="M59" s="616">
        <v>0</v>
      </c>
      <c r="N59" s="415">
        <f t="shared" si="32"/>
        <v>0</v>
      </c>
      <c r="O59" s="194" t="str">
        <f t="shared" si="44"/>
        <v>-</v>
      </c>
      <c r="P59" s="230"/>
      <c r="Q59" s="426">
        <v>0</v>
      </c>
      <c r="R59" s="616">
        <v>0</v>
      </c>
      <c r="S59" s="415">
        <f t="shared" si="34"/>
        <v>0</v>
      </c>
      <c r="T59" s="195" t="str">
        <f t="shared" si="45"/>
        <v>-</v>
      </c>
      <c r="U59" s="785"/>
      <c r="V59" s="626">
        <f t="shared" si="38"/>
        <v>0</v>
      </c>
      <c r="W59" s="415">
        <f t="shared" si="39"/>
        <v>0</v>
      </c>
      <c r="X59" s="415">
        <f t="shared" si="40"/>
        <v>0</v>
      </c>
      <c r="Y59" s="194" t="str">
        <f t="shared" si="41"/>
        <v>-</v>
      </c>
      <c r="Z59" s="230"/>
      <c r="AA59" s="414">
        <v>0</v>
      </c>
      <c r="AB59" s="567">
        <f t="shared" si="47"/>
        <v>0</v>
      </c>
      <c r="AC59" s="196" t="str">
        <f t="shared" si="46"/>
        <v>-</v>
      </c>
      <c r="AD59" s="785"/>
      <c r="AE59" s="1524"/>
    </row>
    <row r="60" spans="1:31" x14ac:dyDescent="0.3">
      <c r="A60" s="476" t="s">
        <v>95</v>
      </c>
      <c r="B60" s="604">
        <v>470.435</v>
      </c>
      <c r="C60" s="604">
        <v>2244.6469999999999</v>
      </c>
      <c r="D60" s="415">
        <f t="shared" si="28"/>
        <v>1774.212</v>
      </c>
      <c r="E60" s="196">
        <f t="shared" si="42"/>
        <v>3.7714285714285714</v>
      </c>
      <c r="F60" s="171"/>
      <c r="G60" s="426">
        <v>4233.915</v>
      </c>
      <c r="H60" s="427">
        <v>4945.9116520000007</v>
      </c>
      <c r="I60" s="415">
        <f t="shared" si="30"/>
        <v>711.99665200000072</v>
      </c>
      <c r="J60" s="197">
        <f t="shared" si="43"/>
        <v>0.16816507936507955</v>
      </c>
      <c r="K60" s="171"/>
      <c r="L60" s="426">
        <v>1545.7149999999999</v>
      </c>
      <c r="M60" s="616">
        <v>3705.1191779999999</v>
      </c>
      <c r="N60" s="415">
        <f t="shared" si="32"/>
        <v>2159.4041779999998</v>
      </c>
      <c r="O60" s="194">
        <f t="shared" si="44"/>
        <v>1.3970260869565216</v>
      </c>
      <c r="P60" s="171"/>
      <c r="Q60" s="426">
        <v>3696.2750000000001</v>
      </c>
      <c r="R60" s="616">
        <v>766.13699999999994</v>
      </c>
      <c r="S60" s="415">
        <f t="shared" si="34"/>
        <v>-2930.1379999999999</v>
      </c>
      <c r="T60" s="195">
        <f t="shared" si="45"/>
        <v>-0.79272727272727272</v>
      </c>
      <c r="U60" s="783"/>
      <c r="V60" s="626">
        <f t="shared" si="38"/>
        <v>9946.34</v>
      </c>
      <c r="W60" s="415">
        <f t="shared" si="39"/>
        <v>11661.814830000001</v>
      </c>
      <c r="X60" s="415">
        <f t="shared" si="40"/>
        <v>1715.474830000001</v>
      </c>
      <c r="Y60" s="194">
        <f t="shared" si="41"/>
        <v>0.17247297297297307</v>
      </c>
      <c r="Z60" s="171"/>
      <c r="AA60" s="414">
        <v>9946.3399999999983</v>
      </c>
      <c r="AB60" s="567">
        <f t="shared" si="47"/>
        <v>-1715.4748300000028</v>
      </c>
      <c r="AC60" s="196">
        <f t="shared" si="46"/>
        <v>-0.17247297297297329</v>
      </c>
      <c r="AD60" s="783"/>
      <c r="AE60" s="1513"/>
    </row>
    <row r="61" spans="1:31" x14ac:dyDescent="0.3">
      <c r="A61" s="476" t="s">
        <v>96</v>
      </c>
      <c r="B61" s="604">
        <v>9677.52</v>
      </c>
      <c r="C61" s="604">
        <v>9937.2538839999997</v>
      </c>
      <c r="D61" s="415">
        <f t="shared" si="28"/>
        <v>259.73388399999931</v>
      </c>
      <c r="E61" s="196">
        <f t="shared" si="42"/>
        <v>2.6838888888888815E-2</v>
      </c>
      <c r="F61" s="171"/>
      <c r="G61" s="552">
        <v>10483.980000000001</v>
      </c>
      <c r="H61" s="598">
        <v>10968.205465999999</v>
      </c>
      <c r="I61" s="415">
        <f t="shared" si="30"/>
        <v>484.22546599999805</v>
      </c>
      <c r="J61" s="197">
        <f t="shared" si="43"/>
        <v>4.6187179487179292E-2</v>
      </c>
      <c r="K61" s="171"/>
      <c r="L61" s="552">
        <v>6720.5</v>
      </c>
      <c r="M61" s="610">
        <v>9961.3132740000001</v>
      </c>
      <c r="N61" s="415">
        <f t="shared" si="32"/>
        <v>3240.8132740000001</v>
      </c>
      <c r="O61" s="194">
        <f t="shared" si="44"/>
        <v>0.48222799999999999</v>
      </c>
      <c r="P61" s="171"/>
      <c r="Q61" s="552">
        <v>4301.12</v>
      </c>
      <c r="R61" s="610">
        <v>4362.5722520000008</v>
      </c>
      <c r="S61" s="415">
        <f t="shared" si="34"/>
        <v>61.452252000000954</v>
      </c>
      <c r="T61" s="195">
        <f t="shared" si="45"/>
        <v>1.4287500000000222E-2</v>
      </c>
      <c r="U61" s="783"/>
      <c r="V61" s="626">
        <f t="shared" si="38"/>
        <v>31183.119999999999</v>
      </c>
      <c r="W61" s="415">
        <f t="shared" si="39"/>
        <v>35229.344875999996</v>
      </c>
      <c r="X61" s="415">
        <f t="shared" si="40"/>
        <v>4046.2248759999966</v>
      </c>
      <c r="Y61" s="194">
        <f t="shared" si="41"/>
        <v>0.12975689655172404</v>
      </c>
      <c r="Z61" s="171"/>
      <c r="AA61" s="414">
        <v>26882</v>
      </c>
      <c r="AB61" s="567">
        <f t="shared" si="47"/>
        <v>-8347.3448759999956</v>
      </c>
      <c r="AC61" s="196">
        <f t="shared" si="46"/>
        <v>-0.31051799999999985</v>
      </c>
      <c r="AD61" s="783"/>
      <c r="AE61" s="1516"/>
    </row>
    <row r="62" spans="1:31" x14ac:dyDescent="0.3">
      <c r="A62" s="476" t="s">
        <v>110</v>
      </c>
      <c r="B62" s="604">
        <v>45732.599270000006</v>
      </c>
      <c r="C62" s="604">
        <v>43331.203328000011</v>
      </c>
      <c r="D62" s="415">
        <f t="shared" si="28"/>
        <v>-2401.3959419999956</v>
      </c>
      <c r="E62" s="196">
        <f t="shared" si="42"/>
        <v>-5.2509500451142742E-2</v>
      </c>
      <c r="F62" s="171"/>
      <c r="G62" s="426">
        <v>8871.0600000000013</v>
      </c>
      <c r="H62" s="427">
        <v>11307.563834</v>
      </c>
      <c r="I62" s="415">
        <f t="shared" si="30"/>
        <v>2436.5038339999992</v>
      </c>
      <c r="J62" s="197">
        <f t="shared" si="43"/>
        <v>0.2746575757575756</v>
      </c>
      <c r="K62" s="171"/>
      <c r="L62" s="426">
        <v>13580.786399999997</v>
      </c>
      <c r="M62" s="616">
        <v>11489.608738000003</v>
      </c>
      <c r="N62" s="415">
        <f t="shared" si="32"/>
        <v>-2091.1776619999946</v>
      </c>
      <c r="O62" s="194">
        <f t="shared" si="44"/>
        <v>-0.15398060174188405</v>
      </c>
      <c r="P62" s="171"/>
      <c r="Q62" s="426">
        <v>63092.054000000011</v>
      </c>
      <c r="R62" s="624">
        <v>10821.779212000001</v>
      </c>
      <c r="S62" s="415">
        <f t="shared" si="34"/>
        <v>-52270.27478800001</v>
      </c>
      <c r="T62" s="195">
        <f t="shared" si="45"/>
        <v>-0.82847635279079679</v>
      </c>
      <c r="U62" s="783"/>
      <c r="V62" s="626">
        <f t="shared" si="38"/>
        <v>131276.49967000002</v>
      </c>
      <c r="W62" s="415">
        <f t="shared" si="39"/>
        <v>76950.155112000008</v>
      </c>
      <c r="X62" s="415">
        <f t="shared" si="40"/>
        <v>-54326.344558000012</v>
      </c>
      <c r="Y62" s="194">
        <f t="shared" si="41"/>
        <v>-0.41383145265576388</v>
      </c>
      <c r="Z62" s="171"/>
      <c r="AA62" s="414">
        <v>99394.921146000008</v>
      </c>
      <c r="AB62" s="567">
        <f t="shared" si="47"/>
        <v>22444.766034</v>
      </c>
      <c r="AC62" s="196">
        <f t="shared" si="46"/>
        <v>0.22581401318313993</v>
      </c>
      <c r="AD62" s="783"/>
      <c r="AE62" s="1267"/>
    </row>
    <row r="63" spans="1:31" x14ac:dyDescent="0.3">
      <c r="A63" s="476" t="s">
        <v>124</v>
      </c>
      <c r="B63" s="604">
        <v>16391.084444</v>
      </c>
      <c r="C63" s="604">
        <v>14811.175540000002</v>
      </c>
      <c r="D63" s="415">
        <f t="shared" si="28"/>
        <v>-1579.9089039999981</v>
      </c>
      <c r="E63" s="196">
        <f t="shared" si="42"/>
        <v>-9.6388308497692352E-2</v>
      </c>
      <c r="F63" s="171"/>
      <c r="G63" s="426">
        <v>16391.084444</v>
      </c>
      <c r="H63" s="427">
        <v>14673.243998000002</v>
      </c>
      <c r="I63" s="415">
        <f t="shared" si="30"/>
        <v>-1717.8404459999983</v>
      </c>
      <c r="J63" s="197">
        <f t="shared" si="43"/>
        <v>-0.1048033430532913</v>
      </c>
      <c r="K63" s="171"/>
      <c r="L63" s="426">
        <v>15853.444444000001</v>
      </c>
      <c r="M63" s="616">
        <v>15425.913116000002</v>
      </c>
      <c r="N63" s="415">
        <f t="shared" si="32"/>
        <v>-427.53132799999912</v>
      </c>
      <c r="O63" s="194">
        <f t="shared" si="44"/>
        <v>-2.6967724869519157E-2</v>
      </c>
      <c r="P63" s="171"/>
      <c r="Q63" s="426">
        <v>15584.624444000001</v>
      </c>
      <c r="R63" s="624">
        <v>15001.580746000001</v>
      </c>
      <c r="S63" s="415">
        <f t="shared" si="34"/>
        <v>-583.04369799999949</v>
      </c>
      <c r="T63" s="195">
        <f t="shared" si="45"/>
        <v>-3.7411469239765238E-2</v>
      </c>
      <c r="U63" s="783"/>
      <c r="V63" s="626">
        <f t="shared" si="38"/>
        <v>64220.237776000002</v>
      </c>
      <c r="W63" s="415">
        <f t="shared" si="39"/>
        <v>59911.913400000005</v>
      </c>
      <c r="X63" s="415">
        <f t="shared" si="40"/>
        <v>-4308.3243759999968</v>
      </c>
      <c r="Y63" s="194">
        <f t="shared" si="41"/>
        <v>-6.7086708570395198E-2</v>
      </c>
      <c r="Z63" s="171"/>
      <c r="AA63" s="414">
        <v>95403.293118956601</v>
      </c>
      <c r="AB63" s="567">
        <f t="shared" si="47"/>
        <v>35491.379718956596</v>
      </c>
      <c r="AC63" s="196">
        <f t="shared" si="46"/>
        <v>0.37201419949626952</v>
      </c>
      <c r="AD63" s="783"/>
      <c r="AE63" s="1524"/>
    </row>
    <row r="64" spans="1:31" x14ac:dyDescent="0.3">
      <c r="A64" s="476" t="s">
        <v>123</v>
      </c>
      <c r="B64" s="604">
        <v>0</v>
      </c>
      <c r="C64" s="604">
        <v>0</v>
      </c>
      <c r="D64" s="415">
        <f t="shared" si="28"/>
        <v>0</v>
      </c>
      <c r="E64" s="196" t="str">
        <f t="shared" si="42"/>
        <v>-</v>
      </c>
      <c r="F64" s="230"/>
      <c r="G64" s="552">
        <v>0</v>
      </c>
      <c r="H64" s="598">
        <v>0</v>
      </c>
      <c r="I64" s="415">
        <f t="shared" si="30"/>
        <v>0</v>
      </c>
      <c r="J64" s="197" t="str">
        <f t="shared" si="43"/>
        <v>-</v>
      </c>
      <c r="K64" s="230"/>
      <c r="L64" s="552">
        <v>0</v>
      </c>
      <c r="M64" s="610">
        <v>0</v>
      </c>
      <c r="N64" s="415">
        <f t="shared" si="32"/>
        <v>0</v>
      </c>
      <c r="O64" s="194" t="str">
        <f t="shared" si="44"/>
        <v>-</v>
      </c>
      <c r="P64" s="230"/>
      <c r="Q64" s="552">
        <v>0</v>
      </c>
      <c r="R64" s="625">
        <v>0</v>
      </c>
      <c r="S64" s="415">
        <f t="shared" si="34"/>
        <v>0</v>
      </c>
      <c r="T64" s="195" t="str">
        <f t="shared" si="45"/>
        <v>-</v>
      </c>
      <c r="U64" s="785"/>
      <c r="V64" s="626">
        <f t="shared" si="38"/>
        <v>0</v>
      </c>
      <c r="W64" s="415">
        <f t="shared" si="39"/>
        <v>0</v>
      </c>
      <c r="X64" s="415">
        <f t="shared" si="40"/>
        <v>0</v>
      </c>
      <c r="Y64" s="194" t="str">
        <f t="shared" si="41"/>
        <v>-</v>
      </c>
      <c r="Z64" s="230"/>
      <c r="AA64" s="414">
        <v>0</v>
      </c>
      <c r="AB64" s="567">
        <f t="shared" si="47"/>
        <v>0</v>
      </c>
      <c r="AC64" s="196" t="str">
        <f t="shared" si="46"/>
        <v>-</v>
      </c>
      <c r="AD64" s="785"/>
      <c r="AE64" s="1524"/>
    </row>
    <row r="65" spans="1:31" x14ac:dyDescent="0.3">
      <c r="A65" s="476" t="s">
        <v>122</v>
      </c>
      <c r="B65" s="604">
        <v>0</v>
      </c>
      <c r="C65" s="604">
        <v>0</v>
      </c>
      <c r="D65" s="415">
        <f t="shared" si="28"/>
        <v>0</v>
      </c>
      <c r="E65" s="196" t="str">
        <f t="shared" si="42"/>
        <v>-</v>
      </c>
      <c r="F65" s="230"/>
      <c r="G65" s="426">
        <v>0</v>
      </c>
      <c r="H65" s="427">
        <v>4032.3</v>
      </c>
      <c r="I65" s="415">
        <f t="shared" si="30"/>
        <v>4032.3</v>
      </c>
      <c r="J65" s="197" t="str">
        <f t="shared" si="43"/>
        <v>-</v>
      </c>
      <c r="K65" s="230"/>
      <c r="L65" s="426">
        <v>53764</v>
      </c>
      <c r="M65" s="616">
        <v>61022.140000000007</v>
      </c>
      <c r="N65" s="415">
        <f t="shared" si="32"/>
        <v>7258.1400000000067</v>
      </c>
      <c r="O65" s="266">
        <f t="shared" si="44"/>
        <v>0.13500000000000012</v>
      </c>
      <c r="P65" s="230"/>
      <c r="Q65" s="426">
        <v>282261</v>
      </c>
      <c r="R65" s="624">
        <v>21704.150452000002</v>
      </c>
      <c r="S65" s="415">
        <f t="shared" si="34"/>
        <v>-260556.849548</v>
      </c>
      <c r="T65" s="195">
        <f t="shared" si="45"/>
        <v>-0.92310609523809528</v>
      </c>
      <c r="U65" s="785"/>
      <c r="V65" s="626">
        <f t="shared" si="38"/>
        <v>336025</v>
      </c>
      <c r="W65" s="415">
        <f t="shared" si="39"/>
        <v>86758.590452000004</v>
      </c>
      <c r="X65" s="415">
        <f t="shared" si="40"/>
        <v>-249266.409548</v>
      </c>
      <c r="Y65" s="194">
        <f t="shared" si="41"/>
        <v>-0.74180911999999999</v>
      </c>
      <c r="Z65" s="230"/>
      <c r="AA65" s="414">
        <v>1330847.1740000001</v>
      </c>
      <c r="AB65" s="567">
        <f t="shared" si="47"/>
        <v>1244088.5835480001</v>
      </c>
      <c r="AC65" s="196">
        <f t="shared" si="46"/>
        <v>0.93480950168663013</v>
      </c>
      <c r="AD65" s="785"/>
      <c r="AE65" s="1269"/>
    </row>
    <row r="66" spans="1:31" x14ac:dyDescent="0.3">
      <c r="A66" s="476" t="s">
        <v>114</v>
      </c>
      <c r="B66" s="604">
        <v>0</v>
      </c>
      <c r="C66" s="604">
        <v>0</v>
      </c>
      <c r="D66" s="415">
        <f t="shared" si="28"/>
        <v>0</v>
      </c>
      <c r="E66" s="196" t="str">
        <f t="shared" si="42"/>
        <v>-</v>
      </c>
      <c r="F66" s="230"/>
      <c r="G66" s="426">
        <v>0</v>
      </c>
      <c r="H66" s="427">
        <v>0</v>
      </c>
      <c r="I66" s="415">
        <f t="shared" si="30"/>
        <v>0</v>
      </c>
      <c r="J66" s="197" t="str">
        <f t="shared" si="43"/>
        <v>-</v>
      </c>
      <c r="K66" s="230"/>
      <c r="L66" s="426">
        <v>0</v>
      </c>
      <c r="M66" s="616">
        <v>0</v>
      </c>
      <c r="N66" s="415">
        <f t="shared" si="32"/>
        <v>0</v>
      </c>
      <c r="O66" s="194" t="str">
        <f t="shared" si="44"/>
        <v>-</v>
      </c>
      <c r="P66" s="230"/>
      <c r="Q66" s="552">
        <v>0</v>
      </c>
      <c r="R66" s="625">
        <v>0</v>
      </c>
      <c r="S66" s="415">
        <f t="shared" si="34"/>
        <v>0</v>
      </c>
      <c r="T66" s="195" t="str">
        <f t="shared" si="45"/>
        <v>-</v>
      </c>
      <c r="U66" s="785"/>
      <c r="V66" s="626">
        <f t="shared" si="38"/>
        <v>0</v>
      </c>
      <c r="W66" s="415">
        <f t="shared" si="39"/>
        <v>0</v>
      </c>
      <c r="X66" s="415">
        <f t="shared" si="40"/>
        <v>0</v>
      </c>
      <c r="Y66" s="194" t="str">
        <f t="shared" si="41"/>
        <v>-</v>
      </c>
      <c r="Z66" s="230"/>
      <c r="AA66" s="414">
        <v>0</v>
      </c>
      <c r="AB66" s="567">
        <f t="shared" si="47"/>
        <v>0</v>
      </c>
      <c r="AC66" s="196" t="str">
        <f t="shared" si="46"/>
        <v>-</v>
      </c>
      <c r="AD66" s="785"/>
      <c r="AE66" s="1524"/>
    </row>
    <row r="67" spans="1:31" x14ac:dyDescent="0.3">
      <c r="A67" s="476" t="s">
        <v>115</v>
      </c>
      <c r="B67" s="604">
        <v>0</v>
      </c>
      <c r="C67" s="604">
        <v>0</v>
      </c>
      <c r="D67" s="415">
        <f t="shared" si="28"/>
        <v>0</v>
      </c>
      <c r="E67" s="196" t="str">
        <f t="shared" si="42"/>
        <v>-</v>
      </c>
      <c r="F67" s="171"/>
      <c r="G67" s="426">
        <v>0</v>
      </c>
      <c r="H67" s="427">
        <v>0</v>
      </c>
      <c r="I67" s="415">
        <f t="shared" si="30"/>
        <v>0</v>
      </c>
      <c r="J67" s="197" t="str">
        <f t="shared" si="43"/>
        <v>-</v>
      </c>
      <c r="K67" s="171"/>
      <c r="L67" s="426">
        <v>0</v>
      </c>
      <c r="M67" s="616">
        <v>0</v>
      </c>
      <c r="N67" s="415">
        <f t="shared" si="32"/>
        <v>0</v>
      </c>
      <c r="O67" s="266" t="str">
        <f t="shared" si="44"/>
        <v>-</v>
      </c>
      <c r="P67" s="171"/>
      <c r="Q67" s="426">
        <v>0</v>
      </c>
      <c r="R67" s="624">
        <v>0</v>
      </c>
      <c r="S67" s="415">
        <f t="shared" si="34"/>
        <v>0</v>
      </c>
      <c r="T67" s="195" t="str">
        <f t="shared" si="45"/>
        <v>-</v>
      </c>
      <c r="U67" s="783"/>
      <c r="V67" s="626">
        <f t="shared" si="38"/>
        <v>0</v>
      </c>
      <c r="W67" s="415">
        <f t="shared" si="39"/>
        <v>0</v>
      </c>
      <c r="X67" s="415">
        <f t="shared" si="40"/>
        <v>0</v>
      </c>
      <c r="Y67" s="194" t="str">
        <f t="shared" si="41"/>
        <v>-</v>
      </c>
      <c r="Z67" s="171"/>
      <c r="AA67" s="414">
        <v>16129.200000000003</v>
      </c>
      <c r="AB67" s="567">
        <f t="shared" si="47"/>
        <v>16129.200000000003</v>
      </c>
      <c r="AC67" s="196">
        <f t="shared" si="46"/>
        <v>1</v>
      </c>
      <c r="AD67" s="783"/>
      <c r="AE67" s="1525"/>
    </row>
    <row r="68" spans="1:31" x14ac:dyDescent="0.3">
      <c r="A68" s="476" t="s">
        <v>121</v>
      </c>
      <c r="B68" s="604">
        <v>0</v>
      </c>
      <c r="C68" s="604">
        <v>0</v>
      </c>
      <c r="D68" s="415">
        <f t="shared" si="28"/>
        <v>0</v>
      </c>
      <c r="E68" s="196" t="str">
        <f t="shared" si="42"/>
        <v>-</v>
      </c>
      <c r="F68" s="230"/>
      <c r="G68" s="552">
        <v>0</v>
      </c>
      <c r="H68" s="598">
        <v>0</v>
      </c>
      <c r="I68" s="415">
        <f t="shared" si="30"/>
        <v>0</v>
      </c>
      <c r="J68" s="197" t="str">
        <f t="shared" si="43"/>
        <v>-</v>
      </c>
      <c r="K68" s="230"/>
      <c r="L68" s="552">
        <v>0</v>
      </c>
      <c r="M68" s="610">
        <v>0</v>
      </c>
      <c r="N68" s="415">
        <f t="shared" si="32"/>
        <v>0</v>
      </c>
      <c r="O68" s="266" t="str">
        <f t="shared" si="44"/>
        <v>-</v>
      </c>
      <c r="P68" s="230"/>
      <c r="Q68" s="552">
        <v>0</v>
      </c>
      <c r="R68" s="610">
        <v>0</v>
      </c>
      <c r="S68" s="415">
        <f t="shared" si="34"/>
        <v>0</v>
      </c>
      <c r="T68" s="267" t="str">
        <f t="shared" si="45"/>
        <v>-</v>
      </c>
      <c r="U68" s="785"/>
      <c r="V68" s="626">
        <f>B68+G68+L68+Q68</f>
        <v>0</v>
      </c>
      <c r="W68" s="415">
        <f t="shared" si="39"/>
        <v>0</v>
      </c>
      <c r="X68" s="415">
        <f t="shared" si="40"/>
        <v>0</v>
      </c>
      <c r="Y68" s="194" t="str">
        <f t="shared" si="41"/>
        <v>-</v>
      </c>
      <c r="Z68" s="230"/>
      <c r="AA68" s="414">
        <v>0</v>
      </c>
      <c r="AB68" s="567">
        <f t="shared" si="47"/>
        <v>0</v>
      </c>
      <c r="AC68" s="196" t="str">
        <f t="shared" si="46"/>
        <v>-</v>
      </c>
      <c r="AD68" s="785"/>
      <c r="AE68" s="1525"/>
    </row>
    <row r="69" spans="1:31" x14ac:dyDescent="0.3">
      <c r="A69" s="476" t="s">
        <v>97</v>
      </c>
      <c r="B69" s="604">
        <v>88887.160976000014</v>
      </c>
      <c r="C69" s="604">
        <v>81544.826551999984</v>
      </c>
      <c r="D69" s="415">
        <f t="shared" si="28"/>
        <v>-7342.3344240000297</v>
      </c>
      <c r="E69" s="196">
        <f t="shared" si="42"/>
        <v>-8.2602867988803216E-2</v>
      </c>
      <c r="F69" s="230"/>
      <c r="G69" s="426">
        <v>26902.860431999998</v>
      </c>
      <c r="H69" s="427">
        <v>27688.406236000003</v>
      </c>
      <c r="I69" s="415">
        <f t="shared" si="30"/>
        <v>785.54580400000486</v>
      </c>
      <c r="J69" s="197">
        <f t="shared" si="43"/>
        <v>2.9199341311142737E-2</v>
      </c>
      <c r="K69" s="230"/>
      <c r="L69" s="426">
        <v>11387.053908000002</v>
      </c>
      <c r="M69" s="616">
        <v>5317.5553020000007</v>
      </c>
      <c r="N69" s="415">
        <f t="shared" si="32"/>
        <v>-6069.498606000001</v>
      </c>
      <c r="O69" s="194">
        <f t="shared" si="44"/>
        <v>-0.53301746483661239</v>
      </c>
      <c r="P69" s="230"/>
      <c r="Q69" s="426">
        <v>7671.9615080000003</v>
      </c>
      <c r="R69" s="616">
        <v>3007.6119239999998</v>
      </c>
      <c r="S69" s="415">
        <f t="shared" si="34"/>
        <v>-4664.3495840000005</v>
      </c>
      <c r="T69" s="195">
        <f t="shared" si="45"/>
        <v>-0.60797353833647527</v>
      </c>
      <c r="U69" s="785"/>
      <c r="V69" s="626">
        <f t="shared" si="38"/>
        <v>134849.03682400001</v>
      </c>
      <c r="W69" s="415">
        <f t="shared" si="39"/>
        <v>117558.40001399998</v>
      </c>
      <c r="X69" s="415">
        <f t="shared" si="40"/>
        <v>-17290.636810000025</v>
      </c>
      <c r="Y69" s="194">
        <f t="shared" si="41"/>
        <v>-0.12822217508729503</v>
      </c>
      <c r="Z69" s="230"/>
      <c r="AA69" s="414">
        <v>134849.03536800001</v>
      </c>
      <c r="AB69" s="567">
        <f t="shared" si="47"/>
        <v>17290.635354000027</v>
      </c>
      <c r="AC69" s="196">
        <f t="shared" si="46"/>
        <v>0.12822216567448383</v>
      </c>
      <c r="AD69" s="785"/>
      <c r="AE69" s="1517"/>
    </row>
    <row r="70" spans="1:31" s="513" customFormat="1" x14ac:dyDescent="0.3">
      <c r="A70" s="1521" t="s">
        <v>98</v>
      </c>
      <c r="B70" s="604">
        <v>0</v>
      </c>
      <c r="C70" s="604">
        <v>0</v>
      </c>
      <c r="D70" s="415">
        <f t="shared" si="28"/>
        <v>0</v>
      </c>
      <c r="E70" s="196" t="str">
        <f t="shared" si="42"/>
        <v>-</v>
      </c>
      <c r="F70" s="511"/>
      <c r="G70" s="552">
        <v>0</v>
      </c>
      <c r="H70" s="598">
        <v>0</v>
      </c>
      <c r="I70" s="415">
        <f t="shared" si="30"/>
        <v>0</v>
      </c>
      <c r="J70" s="197" t="str">
        <f t="shared" si="43"/>
        <v>-</v>
      </c>
      <c r="K70" s="511"/>
      <c r="L70" s="552">
        <v>0</v>
      </c>
      <c r="M70" s="610">
        <v>0</v>
      </c>
      <c r="N70" s="415">
        <f t="shared" si="32"/>
        <v>0</v>
      </c>
      <c r="O70" s="510" t="str">
        <f t="shared" si="44"/>
        <v>-</v>
      </c>
      <c r="P70" s="511"/>
      <c r="Q70" s="552">
        <v>0</v>
      </c>
      <c r="R70" s="610">
        <v>0</v>
      </c>
      <c r="S70" s="415">
        <f t="shared" si="34"/>
        <v>0</v>
      </c>
      <c r="T70" s="512" t="str">
        <f t="shared" si="45"/>
        <v>-</v>
      </c>
      <c r="U70" s="1529"/>
      <c r="V70" s="626">
        <f t="shared" si="38"/>
        <v>0</v>
      </c>
      <c r="W70" s="415">
        <f t="shared" si="39"/>
        <v>0</v>
      </c>
      <c r="X70" s="415">
        <f t="shared" si="40"/>
        <v>0</v>
      </c>
      <c r="Y70" s="194" t="str">
        <f t="shared" si="41"/>
        <v>-</v>
      </c>
      <c r="Z70" s="511"/>
      <c r="AA70" s="414">
        <v>0</v>
      </c>
      <c r="AB70" s="596">
        <f t="shared" si="47"/>
        <v>0</v>
      </c>
      <c r="AC70" s="196" t="str">
        <f t="shared" si="46"/>
        <v>-</v>
      </c>
      <c r="AD70" s="1529"/>
      <c r="AE70" s="1526"/>
    </row>
    <row r="71" spans="1:31" s="513" customFormat="1" x14ac:dyDescent="0.3">
      <c r="A71" s="1521" t="s">
        <v>116</v>
      </c>
      <c r="B71" s="604">
        <v>47002.558713999999</v>
      </c>
      <c r="C71" s="604">
        <v>47002.558713999999</v>
      </c>
      <c r="D71" s="415">
        <f t="shared" si="28"/>
        <v>0</v>
      </c>
      <c r="E71" s="196">
        <f t="shared" si="42"/>
        <v>0</v>
      </c>
      <c r="F71" s="514"/>
      <c r="G71" s="552">
        <v>46513.064375999995</v>
      </c>
      <c r="H71" s="598">
        <v>46513.064375999995</v>
      </c>
      <c r="I71" s="415">
        <f t="shared" si="30"/>
        <v>0</v>
      </c>
      <c r="J71" s="197">
        <f t="shared" si="43"/>
        <v>0</v>
      </c>
      <c r="K71" s="514"/>
      <c r="L71" s="552">
        <v>46008.112887999996</v>
      </c>
      <c r="M71" s="610">
        <v>46016.446307999991</v>
      </c>
      <c r="N71" s="415">
        <f t="shared" si="32"/>
        <v>8.3334199999953853</v>
      </c>
      <c r="O71" s="510">
        <f t="shared" si="44"/>
        <v>1.8112935908242691E-4</v>
      </c>
      <c r="P71" s="514"/>
      <c r="Q71" s="552">
        <v>45511.790521999996</v>
      </c>
      <c r="R71" s="610">
        <v>45511.521701999998</v>
      </c>
      <c r="S71" s="415">
        <f t="shared" si="34"/>
        <v>-0.26881999999750406</v>
      </c>
      <c r="T71" s="197">
        <f t="shared" si="45"/>
        <v>-5.906601276597959E-6</v>
      </c>
      <c r="U71" s="1530"/>
      <c r="V71" s="626">
        <f t="shared" si="38"/>
        <v>185035.52649999998</v>
      </c>
      <c r="W71" s="415">
        <f t="shared" si="39"/>
        <v>185043.59109999999</v>
      </c>
      <c r="X71" s="415">
        <f t="shared" si="40"/>
        <v>8.0646000000124332</v>
      </c>
      <c r="Y71" s="194">
        <f t="shared" si="41"/>
        <v>4.3584062761117573E-5</v>
      </c>
      <c r="Z71" s="514"/>
      <c r="AA71" s="414">
        <v>26459.952600000001</v>
      </c>
      <c r="AB71" s="596">
        <f t="shared" si="47"/>
        <v>-158583.6385</v>
      </c>
      <c r="AC71" s="196">
        <f t="shared" si="46"/>
        <v>-5.9933455247383929</v>
      </c>
      <c r="AD71" s="1530"/>
      <c r="AE71" s="1267"/>
    </row>
    <row r="72" spans="1:31" x14ac:dyDescent="0.3">
      <c r="A72" s="476" t="s">
        <v>99</v>
      </c>
      <c r="B72" s="604">
        <v>33333.68</v>
      </c>
      <c r="C72" s="604">
        <v>16353.046414</v>
      </c>
      <c r="D72" s="415">
        <f t="shared" si="28"/>
        <v>-16980.633586</v>
      </c>
      <c r="E72" s="196">
        <f t="shared" si="42"/>
        <v>-0.50941370967741939</v>
      </c>
      <c r="F72" s="171"/>
      <c r="G72" s="426">
        <v>3118.3119999999999</v>
      </c>
      <c r="H72" s="427">
        <v>6872.1413620000012</v>
      </c>
      <c r="I72" s="415">
        <f t="shared" si="30"/>
        <v>3753.8293620000013</v>
      </c>
      <c r="J72" s="197">
        <f t="shared" si="43"/>
        <v>1.2038017241379315</v>
      </c>
      <c r="K72" s="171"/>
      <c r="L72" s="426">
        <v>1075.28</v>
      </c>
      <c r="M72" s="616">
        <v>537.64</v>
      </c>
      <c r="N72" s="415">
        <f t="shared" si="32"/>
        <v>-537.64</v>
      </c>
      <c r="O72" s="194">
        <f t="shared" si="44"/>
        <v>-0.5</v>
      </c>
      <c r="P72" s="171"/>
      <c r="Q72" s="426">
        <v>32572.139822000005</v>
      </c>
      <c r="R72" s="616">
        <v>4439.0784240000003</v>
      </c>
      <c r="S72" s="415">
        <f t="shared" si="34"/>
        <v>-28133.061398000005</v>
      </c>
      <c r="T72" s="195">
        <f t="shared" si="45"/>
        <v>-0.86371548052235303</v>
      </c>
      <c r="U72" s="783"/>
      <c r="V72" s="626">
        <f t="shared" si="38"/>
        <v>70099.411821999995</v>
      </c>
      <c r="W72" s="415">
        <f t="shared" si="39"/>
        <v>28201.906200000001</v>
      </c>
      <c r="X72" s="415">
        <f t="shared" si="40"/>
        <v>-41897.505621999997</v>
      </c>
      <c r="Y72" s="194">
        <f t="shared" si="41"/>
        <v>-0.59768697815023442</v>
      </c>
      <c r="Z72" s="171"/>
      <c r="AA72" s="414">
        <v>62034.811822000003</v>
      </c>
      <c r="AB72" s="567">
        <f t="shared" si="47"/>
        <v>33832.905622000006</v>
      </c>
      <c r="AC72" s="196">
        <f t="shared" si="46"/>
        <v>0.54538580239557555</v>
      </c>
      <c r="AD72" s="783"/>
      <c r="AE72" s="1516"/>
    </row>
    <row r="73" spans="1:31" x14ac:dyDescent="0.3">
      <c r="A73" s="476" t="s">
        <v>100</v>
      </c>
      <c r="B73" s="604">
        <v>0</v>
      </c>
      <c r="C73" s="604">
        <v>0</v>
      </c>
      <c r="D73" s="415">
        <f t="shared" si="28"/>
        <v>0</v>
      </c>
      <c r="E73" s="196" t="str">
        <f t="shared" si="42"/>
        <v>-</v>
      </c>
      <c r="F73" s="230"/>
      <c r="G73" s="552">
        <v>0</v>
      </c>
      <c r="H73" s="598">
        <v>0</v>
      </c>
      <c r="I73" s="415">
        <f t="shared" si="30"/>
        <v>0</v>
      </c>
      <c r="J73" s="197" t="str">
        <f t="shared" si="43"/>
        <v>-</v>
      </c>
      <c r="K73" s="230"/>
      <c r="L73" s="552">
        <v>0</v>
      </c>
      <c r="M73" s="610">
        <v>0</v>
      </c>
      <c r="N73" s="415">
        <f t="shared" si="32"/>
        <v>0</v>
      </c>
      <c r="O73" s="194"/>
      <c r="P73" s="230"/>
      <c r="Q73" s="552">
        <v>0</v>
      </c>
      <c r="R73" s="610">
        <v>0</v>
      </c>
      <c r="S73" s="415">
        <f t="shared" si="34"/>
        <v>0</v>
      </c>
      <c r="T73" s="195"/>
      <c r="U73" s="785"/>
      <c r="V73" s="626">
        <f t="shared" si="38"/>
        <v>0</v>
      </c>
      <c r="W73" s="415">
        <f t="shared" si="39"/>
        <v>0</v>
      </c>
      <c r="X73" s="415">
        <f t="shared" si="40"/>
        <v>0</v>
      </c>
      <c r="Y73" s="194" t="str">
        <f t="shared" si="41"/>
        <v>-</v>
      </c>
      <c r="Z73" s="230"/>
      <c r="AA73" s="414">
        <v>0</v>
      </c>
      <c r="AB73" s="567">
        <f t="shared" si="47"/>
        <v>0</v>
      </c>
      <c r="AC73" s="196" t="str">
        <f t="shared" si="46"/>
        <v>-</v>
      </c>
      <c r="AD73" s="785"/>
      <c r="AE73" s="1525"/>
    </row>
    <row r="74" spans="1:31" x14ac:dyDescent="0.3">
      <c r="A74" s="496" t="s">
        <v>101</v>
      </c>
      <c r="B74" s="604">
        <v>17742.120000000003</v>
      </c>
      <c r="C74" s="604">
        <v>13899.096162000002</v>
      </c>
      <c r="D74" s="415">
        <f t="shared" si="28"/>
        <v>-3843.023838000001</v>
      </c>
      <c r="E74" s="196">
        <f t="shared" si="42"/>
        <v>-0.21660454545454547</v>
      </c>
      <c r="F74" s="171"/>
      <c r="G74" s="426">
        <v>17742.120000000003</v>
      </c>
      <c r="H74" s="427">
        <v>14588.888282000002</v>
      </c>
      <c r="I74" s="415">
        <f t="shared" si="30"/>
        <v>-3153.2317180000009</v>
      </c>
      <c r="J74" s="197">
        <f t="shared" si="43"/>
        <v>-0.17772575757575759</v>
      </c>
      <c r="K74" s="171"/>
      <c r="L74" s="426">
        <v>17742.120000000003</v>
      </c>
      <c r="M74" s="616">
        <v>17944.407050000002</v>
      </c>
      <c r="N74" s="415">
        <f t="shared" si="32"/>
        <v>202.287049999999</v>
      </c>
      <c r="O74" s="266">
        <f>IF(ISERROR(N74/L74),"-",N74/L74)</f>
        <v>1.1401515151515093E-2</v>
      </c>
      <c r="P74" s="171"/>
      <c r="Q74" s="426">
        <v>17742.120000000003</v>
      </c>
      <c r="R74" s="616">
        <v>13294.278044000002</v>
      </c>
      <c r="S74" s="415">
        <f t="shared" si="34"/>
        <v>-4447.8419560000002</v>
      </c>
      <c r="T74" s="195">
        <f>IF(ISERROR(S74/Q74),"-",S74/Q74)</f>
        <v>-0.25069393939393936</v>
      </c>
      <c r="U74" s="783"/>
      <c r="V74" s="626">
        <f t="shared" si="38"/>
        <v>70968.48000000001</v>
      </c>
      <c r="W74" s="415">
        <f t="shared" si="39"/>
        <v>59726.669538000002</v>
      </c>
      <c r="X74" s="415">
        <f t="shared" si="40"/>
        <v>-11241.810462000009</v>
      </c>
      <c r="Y74" s="194">
        <f t="shared" si="41"/>
        <v>-0.1584056818181819</v>
      </c>
      <c r="Z74" s="171"/>
      <c r="AA74" s="414">
        <v>70968.479999999996</v>
      </c>
      <c r="AB74" s="567">
        <f t="shared" si="47"/>
        <v>11241.810461999994</v>
      </c>
      <c r="AC74" s="196">
        <f t="shared" si="46"/>
        <v>0.15840568181818174</v>
      </c>
      <c r="AD74" s="783"/>
      <c r="AE74" s="1525"/>
    </row>
    <row r="75" spans="1:31" x14ac:dyDescent="0.3">
      <c r="A75" s="497" t="s">
        <v>120</v>
      </c>
      <c r="B75" s="1021">
        <v>0</v>
      </c>
      <c r="C75" s="604">
        <v>0</v>
      </c>
      <c r="D75" s="415">
        <f t="shared" si="28"/>
        <v>0</v>
      </c>
      <c r="E75" s="196" t="str">
        <f t="shared" si="42"/>
        <v>-</v>
      </c>
      <c r="F75" s="171"/>
      <c r="G75" s="426">
        <v>0</v>
      </c>
      <c r="H75" s="427">
        <v>0</v>
      </c>
      <c r="I75" s="415">
        <f t="shared" si="30"/>
        <v>0</v>
      </c>
      <c r="J75" s="197" t="str">
        <f t="shared" si="43"/>
        <v>-</v>
      </c>
      <c r="K75" s="171"/>
      <c r="L75" s="426">
        <v>0</v>
      </c>
      <c r="M75" s="616">
        <v>0</v>
      </c>
      <c r="N75" s="415">
        <f t="shared" si="32"/>
        <v>0</v>
      </c>
      <c r="O75" s="266" t="str">
        <f>IF(ISERROR(N75/L75),"-",N75/L75)</f>
        <v>-</v>
      </c>
      <c r="P75" s="171"/>
      <c r="Q75" s="414">
        <v>0</v>
      </c>
      <c r="R75" s="415">
        <v>0</v>
      </c>
      <c r="S75" s="415">
        <f t="shared" si="34"/>
        <v>0</v>
      </c>
      <c r="T75" s="267" t="str">
        <f>IF(ISERROR(S75/Q75),"-",S75/Q75)</f>
        <v>-</v>
      </c>
      <c r="U75" s="783"/>
      <c r="V75" s="626">
        <f t="shared" si="38"/>
        <v>0</v>
      </c>
      <c r="W75" s="415">
        <f t="shared" si="39"/>
        <v>0</v>
      </c>
      <c r="X75" s="415">
        <f t="shared" si="40"/>
        <v>0</v>
      </c>
      <c r="Y75" s="194" t="str">
        <f t="shared" si="41"/>
        <v>-</v>
      </c>
      <c r="Z75" s="171"/>
      <c r="AA75" s="414">
        <v>0</v>
      </c>
      <c r="AB75" s="567">
        <f t="shared" si="47"/>
        <v>0</v>
      </c>
      <c r="AC75" s="196" t="str">
        <f t="shared" si="46"/>
        <v>-</v>
      </c>
      <c r="AD75" s="783"/>
      <c r="AE75" s="1525"/>
    </row>
    <row r="76" spans="1:31" x14ac:dyDescent="0.3">
      <c r="A76" s="477" t="s">
        <v>102</v>
      </c>
      <c r="B76" s="565">
        <f>SUM(B43:B75)</f>
        <v>481391.18921199994</v>
      </c>
      <c r="C76" s="433">
        <f>SUM(C43:C75)</f>
        <v>468948.21034400014</v>
      </c>
      <c r="D76" s="433">
        <f>SUM(D43:D75)</f>
        <v>-12442.978867999997</v>
      </c>
      <c r="E76" s="211">
        <f t="shared" si="42"/>
        <v>-2.5847957226571155E-2</v>
      </c>
      <c r="F76" s="178"/>
      <c r="G76" s="432">
        <f>SUM(G43:G75)</f>
        <v>631418.31399399997</v>
      </c>
      <c r="H76" s="433">
        <f>SUM(H43:H75)</f>
        <v>622260.61122799991</v>
      </c>
      <c r="I76" s="433">
        <f>SUM(I43:I75)</f>
        <v>-9157.7027660000058</v>
      </c>
      <c r="J76" s="211">
        <f>IF(ISERROR(I76/G76),"-",I76/G76)</f>
        <v>-1.4503384781593501E-2</v>
      </c>
      <c r="K76" s="178"/>
      <c r="L76" s="432">
        <f>SUM(L43:L75)</f>
        <v>633537.90593000001</v>
      </c>
      <c r="M76" s="433">
        <f>SUM(M43:M75)</f>
        <v>458472.7501200001</v>
      </c>
      <c r="N76" s="433">
        <f>SUM(N43:N75)</f>
        <v>-175065.15581000003</v>
      </c>
      <c r="O76" s="211">
        <f>IF(ISERROR(N76/L76),"-",N76/L76)</f>
        <v>-0.2763294100816488</v>
      </c>
      <c r="P76" s="178"/>
      <c r="Q76" s="432">
        <f>SUM(Q43:Q75)</f>
        <v>1987185.1019940001</v>
      </c>
      <c r="R76" s="433">
        <f>SUM(R43:R75)</f>
        <v>1087261.8450399998</v>
      </c>
      <c r="S76" s="433">
        <f>SUM(S43:S75)</f>
        <v>-899923.2569540001</v>
      </c>
      <c r="T76" s="211">
        <f>IF(ISERROR(S76/Q76),"-",S76/Q76)</f>
        <v>-0.45286332715104927</v>
      </c>
      <c r="U76" s="784"/>
      <c r="V76" s="1046">
        <f>SUM(V43:V75)</f>
        <v>3733532.5111300005</v>
      </c>
      <c r="W76" s="763">
        <f>SUM(W43:W75)</f>
        <v>2636943.4167320007</v>
      </c>
      <c r="X76" s="763">
        <f>SUM(X43:X75)</f>
        <v>-1096589.0943980003</v>
      </c>
      <c r="Y76" s="1303">
        <f t="shared" si="41"/>
        <v>-0.29371355174461944</v>
      </c>
      <c r="Z76" s="178"/>
      <c r="AA76" s="432">
        <f>SUM(AA43:AA75)</f>
        <v>3733540.4916793471</v>
      </c>
      <c r="AB76" s="433">
        <f>SUM(AB43:AB75)</f>
        <v>1096597.0749473474</v>
      </c>
      <c r="AC76" s="211">
        <f t="shared" si="46"/>
        <v>0.29371506145205828</v>
      </c>
      <c r="AD76" s="784"/>
      <c r="AE76" s="1527"/>
    </row>
    <row r="77" spans="1:31" x14ac:dyDescent="0.3">
      <c r="A77" s="1522"/>
      <c r="B77" s="569"/>
      <c r="C77" s="437"/>
      <c r="D77" s="437"/>
      <c r="E77" s="253"/>
      <c r="F77" s="160"/>
      <c r="G77" s="450"/>
      <c r="H77" s="451"/>
      <c r="I77" s="451"/>
      <c r="J77" s="264"/>
      <c r="K77" s="160"/>
      <c r="L77" s="448"/>
      <c r="M77" s="449"/>
      <c r="N77" s="449"/>
      <c r="O77" s="257"/>
      <c r="P77" s="160"/>
      <c r="Q77" s="450"/>
      <c r="R77" s="451"/>
      <c r="S77" s="451"/>
      <c r="T77" s="258"/>
      <c r="U77" s="781"/>
      <c r="V77" s="1069"/>
      <c r="W77" s="1349"/>
      <c r="X77" s="755"/>
      <c r="Y77" s="1088"/>
      <c r="Z77" s="160"/>
      <c r="AA77" s="452"/>
      <c r="AB77" s="437"/>
      <c r="AC77" s="257"/>
      <c r="AD77" s="781"/>
      <c r="AE77" s="1525"/>
    </row>
    <row r="78" spans="1:31" x14ac:dyDescent="0.3">
      <c r="A78" s="1523" t="s">
        <v>103</v>
      </c>
      <c r="B78" s="930">
        <f>B41+B76+B77</f>
        <v>1359056.6609240002</v>
      </c>
      <c r="C78" s="763">
        <f>C41+C76+C77</f>
        <v>1314390.6318860003</v>
      </c>
      <c r="D78" s="763">
        <f>D41+D76+D77</f>
        <v>-44666.029038000008</v>
      </c>
      <c r="E78" s="1303">
        <f>IF(ISERROR(D78/B78),"-",D78/B78)</f>
        <v>-3.2865464937740209E-2</v>
      </c>
      <c r="F78" s="230"/>
      <c r="G78" s="432">
        <f>G41+G76+G77</f>
        <v>1526643.9683300003</v>
      </c>
      <c r="H78" s="754">
        <f>H41+H76+H77</f>
        <v>1526733.3509799999</v>
      </c>
      <c r="I78" s="754">
        <f>I41+I76+I77</f>
        <v>89.382649999784917</v>
      </c>
      <c r="J78" s="211">
        <f>IF(ISERROR(I78/G78),"-",I78/G78)</f>
        <v>5.8548457829077739E-5</v>
      </c>
      <c r="K78" s="230"/>
      <c r="L78" s="432">
        <f>L41+L76+L77</f>
        <v>1543808.1790939998</v>
      </c>
      <c r="M78" s="433">
        <f>M41+M76+M77</f>
        <v>1370159.5971560003</v>
      </c>
      <c r="N78" s="433">
        <f>N41+N76+N77</f>
        <v>-173648.58193799984</v>
      </c>
      <c r="O78" s="211">
        <f>IF(ISERROR(N78/L78),"-",N78/L78)</f>
        <v>-0.11248067233320876</v>
      </c>
      <c r="P78" s="230"/>
      <c r="Q78" s="432">
        <f>Q41+Q76+Q77</f>
        <v>2924629.6900260001</v>
      </c>
      <c r="R78" s="433">
        <f>R41+R76+R77</f>
        <v>2305659.3549519996</v>
      </c>
      <c r="S78" s="433">
        <f>S41+S76+S77</f>
        <v>-618970.33507400018</v>
      </c>
      <c r="T78" s="211">
        <f>IF(ISERROR(S78/Q78),"-",S78/Q78)</f>
        <v>-0.21164058382669892</v>
      </c>
      <c r="U78" s="785"/>
      <c r="V78" s="1046">
        <f>V41+V76+V77</f>
        <v>7354138.4983740002</v>
      </c>
      <c r="W78" s="763">
        <f>W41+W76+W77</f>
        <v>6516942.9349739999</v>
      </c>
      <c r="X78" s="763">
        <f>X41+X76+X77</f>
        <v>-837195.5634000008</v>
      </c>
      <c r="Y78" s="1303">
        <f>IF(ISERROR(X78/V78),"-",X78/V78)</f>
        <v>-0.1138400593876638</v>
      </c>
      <c r="Z78" s="230"/>
      <c r="AA78" s="1046">
        <f>AA41+AA76+AA77</f>
        <v>7354146.4789233468</v>
      </c>
      <c r="AB78" s="763">
        <f>AB41+AB76+AB77</f>
        <v>837203.54394934792</v>
      </c>
      <c r="AC78" s="1303">
        <f>IF(ISERROR(AB78/AA78),"-",AB78/AA78)</f>
        <v>0.11384102102789707</v>
      </c>
      <c r="AD78" s="785"/>
      <c r="AE78" s="1527"/>
    </row>
    <row r="79" spans="1:31" ht="37.5" x14ac:dyDescent="0.3">
      <c r="A79" s="1468" t="s">
        <v>166</v>
      </c>
      <c r="B79" s="1228">
        <f>B25-B78</f>
        <v>1869200.783572</v>
      </c>
      <c r="C79" s="755">
        <f>C25-C78</f>
        <v>2127804.7364659994</v>
      </c>
      <c r="D79" s="755">
        <f>D25-D78</f>
        <v>258603.95289399996</v>
      </c>
      <c r="E79" s="753"/>
      <c r="F79" s="262">
        <f>F25-F78</f>
        <v>0</v>
      </c>
      <c r="G79" s="752">
        <f>G25-G78</f>
        <v>682462.44699799991</v>
      </c>
      <c r="H79" s="755">
        <f>H25-H78</f>
        <v>11101.67459600023</v>
      </c>
      <c r="I79" s="755">
        <f>I25-I78</f>
        <v>-671360.77240199992</v>
      </c>
      <c r="J79" s="1397"/>
      <c r="K79" s="262">
        <f>K25-K78</f>
        <v>0</v>
      </c>
      <c r="L79" s="448">
        <f>L25-L78</f>
        <v>191417.90470400034</v>
      </c>
      <c r="M79" s="448">
        <f>M25-M78</f>
        <v>7205.2380419997498</v>
      </c>
      <c r="N79" s="448">
        <f>N25-N78</f>
        <v>-184212.66666200009</v>
      </c>
      <c r="O79" s="893"/>
      <c r="P79" s="262">
        <f>P25-P78</f>
        <v>0</v>
      </c>
      <c r="Q79" s="448">
        <f>Q25-Q78</f>
        <v>-1750049.3562379999</v>
      </c>
      <c r="R79" s="448">
        <f>R25-R78</f>
        <v>-1480563.1127499996</v>
      </c>
      <c r="S79" s="448">
        <f>S25-S78</f>
        <v>269486.24348799989</v>
      </c>
      <c r="T79" s="893"/>
      <c r="U79" s="726">
        <f>U25-U78</f>
        <v>0</v>
      </c>
      <c r="V79" s="752">
        <f>V25-V78</f>
        <v>993031.77903600037</v>
      </c>
      <c r="W79" s="755">
        <f>W25-W78</f>
        <v>665548.53635400068</v>
      </c>
      <c r="X79" s="755">
        <f>X25-X78</f>
        <v>-327483.24268199946</v>
      </c>
      <c r="Y79" s="1396"/>
      <c r="Z79" s="893">
        <f>Z25-Z78</f>
        <v>0</v>
      </c>
      <c r="AA79" s="752">
        <f>AA25-AA78</f>
        <v>993023.79848665185</v>
      </c>
      <c r="AB79" s="755">
        <f>AB25-AB78</f>
        <v>327475.26213265071</v>
      </c>
      <c r="AC79" s="1396"/>
      <c r="AD79" s="781"/>
      <c r="AE79" s="1525"/>
    </row>
    <row r="80" spans="1:31" x14ac:dyDescent="0.3">
      <c r="A80" s="1469" t="s">
        <v>167</v>
      </c>
      <c r="B80" s="1228"/>
      <c r="C80" s="755"/>
      <c r="D80" s="755">
        <f>C80-B80</f>
        <v>0</v>
      </c>
      <c r="E80" s="1087"/>
      <c r="F80" s="160"/>
      <c r="G80" s="1064"/>
      <c r="H80" s="1519"/>
      <c r="I80" s="755">
        <f>H80-G80</f>
        <v>0</v>
      </c>
      <c r="J80" s="1452"/>
      <c r="K80" s="160"/>
      <c r="L80" s="448"/>
      <c r="M80" s="449"/>
      <c r="N80" s="449">
        <f>M80-L80</f>
        <v>0</v>
      </c>
      <c r="O80" s="896"/>
      <c r="P80" s="160"/>
      <c r="Q80" s="450"/>
      <c r="R80" s="451"/>
      <c r="S80" s="449">
        <f>R80-Q80</f>
        <v>0</v>
      </c>
      <c r="T80" s="894"/>
      <c r="U80" s="781"/>
      <c r="V80" s="1069"/>
      <c r="W80" s="1349"/>
      <c r="X80" s="755"/>
      <c r="Y80" s="1396"/>
      <c r="Z80" s="1092"/>
      <c r="AA80" s="1069"/>
      <c r="AB80" s="755"/>
      <c r="AC80" s="1396"/>
      <c r="AD80" s="781"/>
      <c r="AE80" s="1525"/>
    </row>
    <row r="81" spans="1:31" ht="37.5" x14ac:dyDescent="0.3">
      <c r="A81" s="1468" t="s">
        <v>168</v>
      </c>
      <c r="B81" s="1228">
        <f>B79-B80</f>
        <v>1869200.783572</v>
      </c>
      <c r="C81" s="755">
        <f t="shared" ref="C81:AA81" si="48">C79-C80</f>
        <v>2127804.7364659994</v>
      </c>
      <c r="D81" s="755">
        <f t="shared" si="48"/>
        <v>258603.95289399996</v>
      </c>
      <c r="E81" s="753">
        <f>E79-E80</f>
        <v>0</v>
      </c>
      <c r="F81" s="262">
        <f t="shared" si="48"/>
        <v>0</v>
      </c>
      <c r="G81" s="752">
        <f t="shared" si="48"/>
        <v>682462.44699799991</v>
      </c>
      <c r="H81" s="755">
        <f t="shared" si="48"/>
        <v>11101.67459600023</v>
      </c>
      <c r="I81" s="755">
        <f t="shared" si="48"/>
        <v>-671360.77240199992</v>
      </c>
      <c r="J81" s="1397">
        <f>J79-J80</f>
        <v>0</v>
      </c>
      <c r="K81" s="262">
        <f t="shared" si="48"/>
        <v>0</v>
      </c>
      <c r="L81" s="448">
        <f t="shared" si="48"/>
        <v>191417.90470400034</v>
      </c>
      <c r="M81" s="448">
        <f t="shared" si="48"/>
        <v>7205.2380419997498</v>
      </c>
      <c r="N81" s="448">
        <f t="shared" si="48"/>
        <v>-184212.66666200009</v>
      </c>
      <c r="O81" s="893">
        <f t="shared" si="48"/>
        <v>0</v>
      </c>
      <c r="P81" s="262">
        <f t="shared" si="48"/>
        <v>0</v>
      </c>
      <c r="Q81" s="448">
        <f t="shared" si="48"/>
        <v>-1750049.3562379999</v>
      </c>
      <c r="R81" s="448">
        <f t="shared" si="48"/>
        <v>-1480563.1127499996</v>
      </c>
      <c r="S81" s="448">
        <f t="shared" si="48"/>
        <v>269486.24348799989</v>
      </c>
      <c r="T81" s="893">
        <f t="shared" si="48"/>
        <v>0</v>
      </c>
      <c r="U81" s="726">
        <f t="shared" si="48"/>
        <v>0</v>
      </c>
      <c r="V81" s="752">
        <f>V79-V80</f>
        <v>993031.77903600037</v>
      </c>
      <c r="W81" s="755">
        <f t="shared" si="48"/>
        <v>665548.53635400068</v>
      </c>
      <c r="X81" s="755">
        <f t="shared" si="48"/>
        <v>-327483.24268199946</v>
      </c>
      <c r="Y81" s="1396">
        <f t="shared" si="48"/>
        <v>0</v>
      </c>
      <c r="Z81" s="893">
        <f t="shared" si="48"/>
        <v>0</v>
      </c>
      <c r="AA81" s="752">
        <f t="shared" si="48"/>
        <v>993023.79848665185</v>
      </c>
      <c r="AB81" s="755">
        <f>AB79-AB80</f>
        <v>327475.26213265071</v>
      </c>
      <c r="AC81" s="1396">
        <f>AC79-AC80</f>
        <v>0</v>
      </c>
      <c r="AD81" s="781"/>
      <c r="AE81" s="1525"/>
    </row>
    <row r="82" spans="1:31" x14ac:dyDescent="0.3">
      <c r="A82" s="483" t="s">
        <v>104</v>
      </c>
      <c r="B82" s="567"/>
      <c r="C82" s="415"/>
      <c r="D82" s="415">
        <f>B82-C82</f>
        <v>0</v>
      </c>
      <c r="E82" s="194" t="str">
        <f>IF(ISERROR(D82/B82),"-",D82/B82)</f>
        <v>-</v>
      </c>
      <c r="F82" s="230"/>
      <c r="G82" s="1065"/>
      <c r="H82" s="1520"/>
      <c r="I82" s="1520">
        <f>G82-H82</f>
        <v>0</v>
      </c>
      <c r="J82" s="1043" t="str">
        <f>IF(ISERROR(I82/G82),"-",I82/G82)</f>
        <v>-</v>
      </c>
      <c r="K82" s="230"/>
      <c r="L82" s="414"/>
      <c r="M82" s="415"/>
      <c r="N82" s="415">
        <f>L82-M82</f>
        <v>0</v>
      </c>
      <c r="O82" s="196" t="str">
        <f>IF(ISERROR(N82/L82),"-",N82/L82)</f>
        <v>-</v>
      </c>
      <c r="P82" s="230"/>
      <c r="Q82" s="426"/>
      <c r="R82" s="427"/>
      <c r="S82" s="427">
        <f>Q82-R82</f>
        <v>0</v>
      </c>
      <c r="T82" s="197" t="str">
        <f>IF(ISERROR(S82/Q82),"-",S82/Q82)</f>
        <v>-</v>
      </c>
      <c r="U82" s="785"/>
      <c r="V82" s="889">
        <f>B82+G82+L82+Q82</f>
        <v>0</v>
      </c>
      <c r="W82" s="1349">
        <f>C82+H82+M82+R82</f>
        <v>0</v>
      </c>
      <c r="X82" s="567">
        <f>V82-W82</f>
        <v>0</v>
      </c>
      <c r="Y82" s="196" t="str">
        <f>IF(ISERROR(X82/V82),"-",X82/V82)</f>
        <v>-</v>
      </c>
      <c r="Z82" s="1093"/>
      <c r="AA82" s="889">
        <f>G82+L82+Q82+V82</f>
        <v>0</v>
      </c>
      <c r="AB82" s="1349">
        <f>AA82-W82</f>
        <v>0</v>
      </c>
      <c r="AC82" s="901" t="str">
        <f>IF(ISERROR(AB82/AA82),"-",AB82/AA82)</f>
        <v>-</v>
      </c>
      <c r="AD82" s="785"/>
      <c r="AE82" s="1525"/>
    </row>
    <row r="83" spans="1:31" ht="21" customHeight="1" thickBot="1" x14ac:dyDescent="0.35">
      <c r="A83" s="1342" t="s">
        <v>105</v>
      </c>
      <c r="B83" s="793">
        <f>B81-B82</f>
        <v>1869200.783572</v>
      </c>
      <c r="C83" s="454">
        <f>C81-C82</f>
        <v>2127804.7364659994</v>
      </c>
      <c r="D83" s="455">
        <f>C83-B83</f>
        <v>258603.95289399941</v>
      </c>
      <c r="E83" s="271">
        <f>IF(ISERROR(D83/B83),"-",D83/B83)</f>
        <v>0.13835001310015138</v>
      </c>
      <c r="F83" s="1243"/>
      <c r="G83" s="1047">
        <f>G81-G82</f>
        <v>682462.44699799991</v>
      </c>
      <c r="H83" s="1315">
        <f>H81-H82</f>
        <v>11101.67459600023</v>
      </c>
      <c r="I83" s="1315">
        <f>H83-G83</f>
        <v>-671360.77240199968</v>
      </c>
      <c r="J83" s="1437">
        <f>IF(ISERROR(I83/G83),"-",I83/G83)</f>
        <v>-0.98373291505659544</v>
      </c>
      <c r="K83" s="1243"/>
      <c r="L83" s="454">
        <f>L81-L82</f>
        <v>191417.90470400034</v>
      </c>
      <c r="M83" s="454">
        <f>M81-M82</f>
        <v>7205.2380419997498</v>
      </c>
      <c r="N83" s="455">
        <f>M83-L83</f>
        <v>-184212.66666200059</v>
      </c>
      <c r="O83" s="895">
        <f>IF(ISERROR(N83/L83),"-",N83/L83)</f>
        <v>-0.96235859935285784</v>
      </c>
      <c r="P83" s="1243"/>
      <c r="Q83" s="454">
        <f>Q81-Q82</f>
        <v>-1750049.3562379999</v>
      </c>
      <c r="R83" s="454">
        <f>R81-R82</f>
        <v>-1480563.1127499996</v>
      </c>
      <c r="S83" s="455">
        <f>R83-Q83</f>
        <v>269486.24348800024</v>
      </c>
      <c r="T83" s="895">
        <f>IF(ISERROR(S83/Q83),"-",S83/Q83)</f>
        <v>-0.15398779613124874</v>
      </c>
      <c r="U83" s="799"/>
      <c r="V83" s="1070">
        <f>V81-V82</f>
        <v>993031.77903600037</v>
      </c>
      <c r="W83" s="1351">
        <f>W81-W82</f>
        <v>665548.53635400068</v>
      </c>
      <c r="X83" s="793">
        <f>W83-V83</f>
        <v>-327483.24268199969</v>
      </c>
      <c r="Y83" s="897">
        <f>IF(ISERROR(X83/V83),"-",X83/V83)</f>
        <v>-0.32978123117057612</v>
      </c>
      <c r="Z83" s="1518"/>
      <c r="AA83" s="1070">
        <f>AA81-AA82</f>
        <v>993023.79848665185</v>
      </c>
      <c r="AB83" s="1351">
        <f>AB81-AB82</f>
        <v>327475.26213265071</v>
      </c>
      <c r="AC83" s="1398">
        <f>IF(ISERROR(AB83/AA83),"-",AB83/AA83)</f>
        <v>0.32977584488077361</v>
      </c>
      <c r="AD83" s="707"/>
      <c r="AE83" s="1528"/>
    </row>
  </sheetData>
  <sheetProtection algorithmName="SHA-512" hashValue="FML2V7TxveNf04ylB1YDKvlF+qCaXmq7CJLdp4PeKmjBJ7l4oNrjE3CUDu4jRdls9x98xfdo/14vhsY4ZS/uNw==" saltValue="spY2Wf2D/1c1ZV9W8exWOw==" spinCount="100000" sheet="1" objects="1" scenarios="1"/>
  <mergeCells count="19">
    <mergeCell ref="A7:H7"/>
    <mergeCell ref="A1:H1"/>
    <mergeCell ref="A3:H3"/>
    <mergeCell ref="A4:H4"/>
    <mergeCell ref="A5:H5"/>
    <mergeCell ref="A6:H6"/>
    <mergeCell ref="Q9:T9"/>
    <mergeCell ref="V9:Y9"/>
    <mergeCell ref="AA9:AC9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</mergeCells>
  <conditionalFormatting sqref="E56">
    <cfRule type="cellIs" dxfId="2" priority="1" stopIfTrue="1" operator="equal">
      <formula>""""""</formula>
    </cfRule>
  </conditionalFormatting>
  <pageMargins left="0.7" right="0.7" top="0.75" bottom="0.75" header="0.3" footer="0.3"/>
  <pageSetup scale="53" fitToHeight="0" orientation="landscape" verticalDpi="300" r:id="rId1"/>
  <rowBreaks count="1" manualBreakCount="1">
    <brk id="49" max="30" man="1"/>
  </rowBreaks>
  <colBreaks count="2" manualBreakCount="2">
    <brk id="11" max="87" man="1"/>
    <brk id="29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  <pageSetUpPr fitToPage="1"/>
  </sheetPr>
  <dimension ref="A1:I72"/>
  <sheetViews>
    <sheetView zoomScale="70" zoomScaleNormal="70" workbookViewId="0">
      <selection activeCell="I17" sqref="I17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370" customWidth="1"/>
    <col min="3" max="3" width="16.85546875" style="370" customWidth="1"/>
    <col min="4" max="4" width="18.140625" style="370" customWidth="1"/>
    <col min="5" max="5" width="17" style="370" customWidth="1"/>
    <col min="6" max="6" width="17.42578125" style="370" customWidth="1"/>
    <col min="7" max="7" width="8.85546875" style="46" customWidth="1"/>
    <col min="8" max="8" width="11.85546875" style="46" customWidth="1"/>
    <col min="9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8.75" customHeight="1" x14ac:dyDescent="0.3">
      <c r="A2" s="47"/>
      <c r="B2" s="515"/>
      <c r="C2" s="515"/>
      <c r="D2" s="515"/>
      <c r="E2" s="515"/>
      <c r="F2" s="515"/>
    </row>
    <row r="3" spans="1:6" s="49" customFormat="1" ht="18.75" customHeight="1" x14ac:dyDescent="0.3">
      <c r="A3" s="1767" t="s">
        <v>171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516"/>
      <c r="C8" s="517"/>
      <c r="D8" s="516"/>
      <c r="E8" s="517"/>
      <c r="F8" s="516"/>
    </row>
    <row r="9" spans="1:6" ht="17.45" customHeight="1" x14ac:dyDescent="0.3">
      <c r="A9" s="284"/>
      <c r="B9" s="518" t="s">
        <v>160</v>
      </c>
      <c r="C9" s="519" t="s">
        <v>161</v>
      </c>
      <c r="D9" s="518" t="s">
        <v>162</v>
      </c>
      <c r="E9" s="519" t="s">
        <v>163</v>
      </c>
      <c r="F9" s="518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520" t="s">
        <v>107</v>
      </c>
      <c r="C11" s="521" t="s">
        <v>107</v>
      </c>
      <c r="D11" s="520" t="s">
        <v>107</v>
      </c>
      <c r="E11" s="521" t="s">
        <v>107</v>
      </c>
      <c r="F11" s="520" t="s">
        <v>107</v>
      </c>
    </row>
    <row r="12" spans="1:6" ht="15" customHeight="1" x14ac:dyDescent="0.3">
      <c r="A12" s="291" t="s">
        <v>4</v>
      </c>
      <c r="B12" s="522"/>
      <c r="C12" s="523"/>
      <c r="D12" s="522"/>
      <c r="E12" s="523"/>
      <c r="F12" s="522"/>
    </row>
    <row r="13" spans="1:6" ht="15" customHeight="1" x14ac:dyDescent="0.3">
      <c r="A13" s="294" t="s">
        <v>5</v>
      </c>
      <c r="B13" s="341"/>
      <c r="C13" s="343"/>
      <c r="D13" s="341"/>
      <c r="E13" s="525"/>
      <c r="F13" s="524"/>
    </row>
    <row r="14" spans="1:6" ht="15" customHeight="1" x14ac:dyDescent="0.3">
      <c r="A14" s="296" t="s">
        <v>6</v>
      </c>
      <c r="B14" s="341">
        <v>608166.53</v>
      </c>
      <c r="C14" s="343">
        <v>401869.16</v>
      </c>
      <c r="D14" s="341">
        <v>121912.19</v>
      </c>
      <c r="E14" s="802">
        <v>638050.68000000005</v>
      </c>
      <c r="F14" s="802">
        <v>670046.39</v>
      </c>
    </row>
    <row r="15" spans="1:6" ht="15" customHeight="1" x14ac:dyDescent="0.3">
      <c r="A15" s="297" t="s">
        <v>7</v>
      </c>
      <c r="B15" s="802">
        <v>33238.22</v>
      </c>
      <c r="C15" s="802">
        <v>1033093.22</v>
      </c>
      <c r="D15" s="802">
        <v>1033247.02</v>
      </c>
      <c r="E15" s="802">
        <v>325223</v>
      </c>
      <c r="F15" s="802">
        <v>33238.22</v>
      </c>
    </row>
    <row r="16" spans="1:6" ht="15" customHeight="1" x14ac:dyDescent="0.3">
      <c r="A16" s="297" t="s">
        <v>8</v>
      </c>
      <c r="B16" s="802">
        <v>0</v>
      </c>
      <c r="C16" s="802">
        <v>0</v>
      </c>
      <c r="D16" s="802">
        <v>0</v>
      </c>
      <c r="E16" s="802">
        <v>0</v>
      </c>
      <c r="F16" s="802">
        <v>10736.43</v>
      </c>
    </row>
    <row r="17" spans="1:6" ht="15" customHeight="1" x14ac:dyDescent="0.3">
      <c r="A17" s="297" t="s">
        <v>9</v>
      </c>
      <c r="B17" s="802">
        <v>0</v>
      </c>
      <c r="C17" s="802">
        <v>0</v>
      </c>
      <c r="D17" s="802">
        <v>0</v>
      </c>
      <c r="E17" s="802">
        <v>0</v>
      </c>
      <c r="F17" s="802">
        <v>0</v>
      </c>
    </row>
    <row r="18" spans="1:6" ht="15" customHeight="1" x14ac:dyDescent="0.3">
      <c r="A18" s="297" t="s">
        <v>10</v>
      </c>
      <c r="B18" s="802">
        <v>153.80000000000001</v>
      </c>
      <c r="C18" s="802">
        <v>153.80000000000001</v>
      </c>
      <c r="D18" s="802">
        <v>0</v>
      </c>
      <c r="E18" s="802">
        <v>0</v>
      </c>
      <c r="F18" s="802">
        <v>170.26</v>
      </c>
    </row>
    <row r="19" spans="1:6" ht="15" customHeight="1" x14ac:dyDescent="0.3">
      <c r="A19" s="298" t="s">
        <v>11</v>
      </c>
      <c r="B19" s="802">
        <v>0</v>
      </c>
      <c r="C19" s="802">
        <v>0</v>
      </c>
      <c r="D19" s="802">
        <v>0</v>
      </c>
      <c r="E19" s="802">
        <v>0</v>
      </c>
      <c r="F19" s="1090">
        <v>0</v>
      </c>
    </row>
    <row r="20" spans="1:6" ht="15" customHeight="1" x14ac:dyDescent="0.3">
      <c r="A20" s="299" t="s">
        <v>12</v>
      </c>
      <c r="B20" s="345">
        <f>SUM(B14:B19)</f>
        <v>641558.55000000005</v>
      </c>
      <c r="C20" s="345">
        <f>SUM(C14:C19)</f>
        <v>1435116.18</v>
      </c>
      <c r="D20" s="345">
        <f>SUM(D14:D19)</f>
        <v>1155159.21</v>
      </c>
      <c r="E20" s="345">
        <f>SUM(E14:E19)</f>
        <v>963273.68</v>
      </c>
      <c r="F20" s="345">
        <f>SUM(F14:F19)</f>
        <v>714191.3</v>
      </c>
    </row>
    <row r="21" spans="1:6" ht="15" customHeight="1" x14ac:dyDescent="0.3">
      <c r="A21" s="300"/>
      <c r="B21" s="818"/>
      <c r="C21" s="819"/>
      <c r="D21" s="818"/>
      <c r="E21" s="819"/>
      <c r="F21" s="818"/>
    </row>
    <row r="22" spans="1:6" ht="15" customHeight="1" x14ac:dyDescent="0.3">
      <c r="A22" s="301" t="s">
        <v>13</v>
      </c>
      <c r="B22" s="820"/>
      <c r="C22" s="821"/>
      <c r="D22" s="820"/>
      <c r="E22" s="821"/>
      <c r="F22" s="820"/>
    </row>
    <row r="23" spans="1:6" ht="15" customHeight="1" x14ac:dyDescent="0.3">
      <c r="A23" s="297" t="s">
        <v>14</v>
      </c>
      <c r="B23" s="802">
        <v>0</v>
      </c>
      <c r="C23" s="802">
        <v>0</v>
      </c>
      <c r="D23" s="802">
        <v>0</v>
      </c>
      <c r="E23" s="802">
        <v>0</v>
      </c>
      <c r="F23" s="802">
        <v>0</v>
      </c>
    </row>
    <row r="24" spans="1:6" ht="15" customHeight="1" x14ac:dyDescent="0.3">
      <c r="A24" s="297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242772.31</v>
      </c>
      <c r="C26" s="802">
        <v>242772.31</v>
      </c>
      <c r="D26" s="802">
        <v>245198.7</v>
      </c>
      <c r="E26" s="802">
        <v>245198.7</v>
      </c>
      <c r="F26" s="802">
        <v>247656.43</v>
      </c>
    </row>
    <row r="27" spans="1:6" ht="15" customHeight="1" x14ac:dyDescent="0.3">
      <c r="A27" s="297" t="s">
        <v>119</v>
      </c>
      <c r="B27" s="802">
        <v>0</v>
      </c>
      <c r="C27" s="802">
        <v>0</v>
      </c>
      <c r="D27" s="802">
        <v>0</v>
      </c>
      <c r="E27" s="802">
        <v>0</v>
      </c>
      <c r="F27" s="802">
        <v>0</v>
      </c>
    </row>
    <row r="28" spans="1:6" ht="15" customHeight="1" x14ac:dyDescent="0.3">
      <c r="A28" s="297" t="s">
        <v>118</v>
      </c>
      <c r="B28" s="802">
        <v>0</v>
      </c>
      <c r="C28" s="802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802">
        <v>0</v>
      </c>
      <c r="D29" s="802">
        <v>0</v>
      </c>
      <c r="E29" s="802">
        <v>0</v>
      </c>
      <c r="F29" s="1090">
        <v>0</v>
      </c>
    </row>
    <row r="30" spans="1:6" ht="15" customHeight="1" x14ac:dyDescent="0.3">
      <c r="A30" s="299" t="s">
        <v>19</v>
      </c>
      <c r="B30" s="345">
        <f>SUM(B23:B29)</f>
        <v>242772.31</v>
      </c>
      <c r="C30" s="345">
        <f>SUM(C23:C29)</f>
        <v>242772.31</v>
      </c>
      <c r="D30" s="345">
        <f>SUM(D23:D29)</f>
        <v>245198.7</v>
      </c>
      <c r="E30" s="345">
        <f>SUM(E23:E29)</f>
        <v>245198.7</v>
      </c>
      <c r="F30" s="345">
        <f>SUM(F23:F29)</f>
        <v>247656.43</v>
      </c>
    </row>
    <row r="31" spans="1:6" ht="15" customHeight="1" x14ac:dyDescent="0.3">
      <c r="A31" s="300"/>
      <c r="B31" s="818"/>
      <c r="C31" s="819"/>
      <c r="D31" s="818"/>
      <c r="E31" s="819"/>
      <c r="F31" s="818"/>
    </row>
    <row r="32" spans="1:6" ht="15" customHeight="1" x14ac:dyDescent="0.3">
      <c r="A32" s="301" t="s">
        <v>20</v>
      </c>
      <c r="B32" s="822"/>
      <c r="C32" s="823"/>
      <c r="D32" s="822"/>
      <c r="E32" s="823"/>
      <c r="F32" s="822"/>
    </row>
    <row r="33" spans="1:8" ht="15" customHeight="1" x14ac:dyDescent="0.3">
      <c r="A33" s="278" t="s">
        <v>21</v>
      </c>
      <c r="B33" s="802">
        <v>0</v>
      </c>
      <c r="C33" s="802">
        <v>0</v>
      </c>
      <c r="D33" s="802"/>
      <c r="E33" s="802">
        <v>0</v>
      </c>
      <c r="F33" s="352">
        <v>0</v>
      </c>
    </row>
    <row r="34" spans="1:8" ht="15" customHeight="1" x14ac:dyDescent="0.3">
      <c r="A34" s="278" t="s">
        <v>22</v>
      </c>
      <c r="B34" s="802">
        <v>70801.81</v>
      </c>
      <c r="C34" s="802">
        <v>79094.59</v>
      </c>
      <c r="D34" s="802">
        <v>79094.59</v>
      </c>
      <c r="E34" s="802">
        <v>79094.59</v>
      </c>
      <c r="F34" s="352">
        <v>69224.83</v>
      </c>
    </row>
    <row r="35" spans="1:8" ht="15" customHeight="1" x14ac:dyDescent="0.3">
      <c r="A35" s="278" t="s">
        <v>23</v>
      </c>
      <c r="B35" s="802">
        <v>36254.42</v>
      </c>
      <c r="C35" s="802">
        <v>28844.75</v>
      </c>
      <c r="D35" s="802">
        <v>28844.75</v>
      </c>
      <c r="E35" s="802">
        <v>28844.75</v>
      </c>
      <c r="F35" s="352">
        <v>21884.16</v>
      </c>
    </row>
    <row r="36" spans="1:8" ht="15" customHeight="1" x14ac:dyDescent="0.3">
      <c r="A36" s="278" t="s">
        <v>24</v>
      </c>
      <c r="B36" s="802">
        <v>6862.6</v>
      </c>
      <c r="C36" s="802">
        <v>4848.6400000000003</v>
      </c>
      <c r="D36" s="802">
        <v>4848.6400000000003</v>
      </c>
      <c r="E36" s="802">
        <v>4848.6400000000003</v>
      </c>
      <c r="F36" s="352">
        <v>2834.68</v>
      </c>
    </row>
    <row r="37" spans="1:8" ht="15" customHeight="1" x14ac:dyDescent="0.3">
      <c r="A37" s="278" t="s">
        <v>25</v>
      </c>
      <c r="B37" s="802">
        <v>0</v>
      </c>
      <c r="C37" s="802">
        <v>0</v>
      </c>
      <c r="D37" s="802">
        <v>0</v>
      </c>
      <c r="E37" s="802">
        <v>0</v>
      </c>
      <c r="F37" s="352">
        <v>0</v>
      </c>
    </row>
    <row r="38" spans="1:8" ht="15" customHeight="1" x14ac:dyDescent="0.3">
      <c r="A38" s="279" t="s">
        <v>26</v>
      </c>
      <c r="B38" s="802">
        <v>0</v>
      </c>
      <c r="C38" s="802">
        <v>0</v>
      </c>
      <c r="D38" s="802">
        <v>0</v>
      </c>
      <c r="E38" s="802">
        <v>0</v>
      </c>
      <c r="F38" s="355">
        <v>0</v>
      </c>
    </row>
    <row r="39" spans="1:8" ht="15" customHeight="1" x14ac:dyDescent="0.3">
      <c r="A39" s="299" t="s">
        <v>27</v>
      </c>
      <c r="B39" s="345">
        <f>SUM(B33:B38)</f>
        <v>113918.83</v>
      </c>
      <c r="C39" s="345">
        <f>SUM(C33:C38)</f>
        <v>112787.98</v>
      </c>
      <c r="D39" s="345">
        <f>SUM(D33:D38)</f>
        <v>112787.98</v>
      </c>
      <c r="E39" s="345">
        <f>SUM(E33:E38)</f>
        <v>112787.98</v>
      </c>
      <c r="F39" s="345">
        <f>SUM(F33:F38)</f>
        <v>93943.67</v>
      </c>
    </row>
    <row r="40" spans="1:8" ht="15" customHeight="1" x14ac:dyDescent="0.3">
      <c r="A40" s="302"/>
      <c r="B40" s="357"/>
      <c r="C40" s="359"/>
      <c r="D40" s="357"/>
      <c r="E40" s="359"/>
      <c r="F40" s="357"/>
    </row>
    <row r="41" spans="1:8" ht="15" customHeight="1" x14ac:dyDescent="0.3">
      <c r="A41" s="294" t="s">
        <v>28</v>
      </c>
      <c r="B41" s="802">
        <v>239656.85</v>
      </c>
      <c r="C41" s="802">
        <v>227043.32</v>
      </c>
      <c r="D41" s="802">
        <v>214429.41</v>
      </c>
      <c r="E41" s="845">
        <v>201816.26</v>
      </c>
      <c r="F41" s="802">
        <v>189202.73</v>
      </c>
      <c r="H41" s="709"/>
    </row>
    <row r="42" spans="1:8" ht="15" customHeight="1" x14ac:dyDescent="0.3">
      <c r="A42" s="303"/>
      <c r="B42" s="355"/>
      <c r="C42" s="362"/>
      <c r="D42" s="355"/>
      <c r="E42" s="362"/>
      <c r="F42" s="355"/>
    </row>
    <row r="43" spans="1:8" ht="15" customHeight="1" x14ac:dyDescent="0.3">
      <c r="A43" s="299" t="s">
        <v>29</v>
      </c>
      <c r="B43" s="345">
        <f>B20+B30+B39+B41</f>
        <v>1237906.54</v>
      </c>
      <c r="C43" s="345">
        <f>C20+C30+C39+C41</f>
        <v>2017719.79</v>
      </c>
      <c r="D43" s="345">
        <f>D20+D30+D39+D41</f>
        <v>1727575.2999999998</v>
      </c>
      <c r="E43" s="345">
        <f>E20+E30+E39+E41</f>
        <v>1523076.62</v>
      </c>
      <c r="F43" s="345">
        <f>F20+F30+F39+F41</f>
        <v>1244994.1299999999</v>
      </c>
    </row>
    <row r="44" spans="1:8" ht="15" customHeight="1" x14ac:dyDescent="0.3">
      <c r="A44" s="304"/>
      <c r="B44" s="824"/>
      <c r="C44" s="825"/>
      <c r="D44" s="824"/>
      <c r="E44" s="825"/>
      <c r="F44" s="824"/>
    </row>
    <row r="45" spans="1:8" ht="15" customHeight="1" x14ac:dyDescent="0.3">
      <c r="A45" s="294" t="s">
        <v>30</v>
      </c>
      <c r="B45" s="822"/>
      <c r="C45" s="823"/>
      <c r="D45" s="822"/>
      <c r="E45" s="823"/>
      <c r="F45" s="822"/>
    </row>
    <row r="46" spans="1:8" ht="15" customHeight="1" x14ac:dyDescent="0.3">
      <c r="A46" s="305"/>
      <c r="B46" s="822"/>
      <c r="C46" s="823"/>
      <c r="D46" s="822"/>
      <c r="E46" s="823"/>
      <c r="F46" s="822"/>
    </row>
    <row r="47" spans="1:8" ht="15" customHeight="1" x14ac:dyDescent="0.3">
      <c r="A47" s="294" t="s">
        <v>31</v>
      </c>
      <c r="B47" s="820"/>
      <c r="C47" s="821"/>
      <c r="D47" s="820"/>
      <c r="E47" s="821"/>
      <c r="F47" s="820"/>
    </row>
    <row r="48" spans="1:8" ht="15" customHeight="1" x14ac:dyDescent="0.3">
      <c r="A48" s="278" t="s">
        <v>32</v>
      </c>
      <c r="B48" s="802">
        <v>102274.39</v>
      </c>
      <c r="C48" s="802">
        <v>154172.49</v>
      </c>
      <c r="D48" s="802">
        <v>88490.23</v>
      </c>
      <c r="E48" s="354">
        <v>66744.14</v>
      </c>
      <c r="F48" s="352">
        <v>111570.08</v>
      </c>
    </row>
    <row r="49" spans="1:8" ht="15" customHeight="1" x14ac:dyDescent="0.3">
      <c r="A49" s="306" t="s">
        <v>50</v>
      </c>
      <c r="B49" s="802">
        <v>0</v>
      </c>
      <c r="C49" s="802">
        <v>0</v>
      </c>
      <c r="D49" s="802">
        <v>0</v>
      </c>
      <c r="E49" s="354">
        <v>0</v>
      </c>
      <c r="F49" s="352">
        <v>0</v>
      </c>
    </row>
    <row r="50" spans="1:8" ht="15" customHeight="1" x14ac:dyDescent="0.3">
      <c r="A50" s="306" t="s">
        <v>164</v>
      </c>
      <c r="B50" s="802">
        <v>0</v>
      </c>
      <c r="C50" s="802">
        <v>0</v>
      </c>
      <c r="D50" s="802">
        <v>0</v>
      </c>
      <c r="E50" s="354">
        <v>0</v>
      </c>
      <c r="F50" s="352">
        <v>0</v>
      </c>
    </row>
    <row r="51" spans="1:8" ht="15" customHeight="1" x14ac:dyDescent="0.3">
      <c r="A51" s="306" t="s">
        <v>109</v>
      </c>
      <c r="B51" s="802">
        <v>0</v>
      </c>
      <c r="C51" s="802">
        <v>0</v>
      </c>
      <c r="D51" s="802">
        <v>0</v>
      </c>
      <c r="E51" s="354">
        <v>0</v>
      </c>
      <c r="F51" s="352">
        <v>0</v>
      </c>
    </row>
    <row r="52" spans="1:8" ht="15" customHeight="1" x14ac:dyDescent="0.3">
      <c r="A52" s="306" t="s">
        <v>33</v>
      </c>
      <c r="B52" s="802">
        <v>0</v>
      </c>
      <c r="C52" s="802">
        <v>0</v>
      </c>
      <c r="D52" s="802">
        <v>0</v>
      </c>
      <c r="E52" s="354">
        <v>0</v>
      </c>
      <c r="F52" s="352">
        <v>0</v>
      </c>
    </row>
    <row r="53" spans="1:8" ht="15" customHeight="1" x14ac:dyDescent="0.3">
      <c r="A53" s="306" t="s">
        <v>34</v>
      </c>
      <c r="B53" s="802">
        <v>0</v>
      </c>
      <c r="C53" s="802">
        <v>0</v>
      </c>
      <c r="D53" s="802">
        <v>0</v>
      </c>
      <c r="E53" s="354">
        <v>0</v>
      </c>
      <c r="F53" s="352">
        <v>0</v>
      </c>
    </row>
    <row r="54" spans="1:8" ht="15" customHeight="1" x14ac:dyDescent="0.3">
      <c r="A54" s="278" t="s">
        <v>35</v>
      </c>
      <c r="B54" s="802">
        <v>0</v>
      </c>
      <c r="C54" s="802">
        <v>0</v>
      </c>
      <c r="D54" s="802">
        <v>0</v>
      </c>
      <c r="E54" s="354">
        <v>0</v>
      </c>
      <c r="F54" s="352">
        <v>0</v>
      </c>
    </row>
    <row r="55" spans="1:8" ht="15" customHeight="1" x14ac:dyDescent="0.3">
      <c r="A55" s="278" t="s">
        <v>36</v>
      </c>
      <c r="B55" s="802">
        <v>0</v>
      </c>
      <c r="C55" s="802">
        <v>0</v>
      </c>
      <c r="D55" s="802">
        <v>0</v>
      </c>
      <c r="E55" s="354">
        <v>0</v>
      </c>
      <c r="F55" s="352">
        <v>0</v>
      </c>
    </row>
    <row r="56" spans="1:8" ht="15" customHeight="1" x14ac:dyDescent="0.3">
      <c r="A56" s="279" t="s">
        <v>37</v>
      </c>
      <c r="B56" s="802">
        <v>0</v>
      </c>
      <c r="C56" s="802">
        <v>774608.99</v>
      </c>
      <c r="D56" s="802">
        <v>516405.98</v>
      </c>
      <c r="E56" s="362">
        <v>272953.96000000002</v>
      </c>
      <c r="F56" s="355">
        <v>0</v>
      </c>
    </row>
    <row r="57" spans="1:8" ht="15" customHeight="1" x14ac:dyDescent="0.3">
      <c r="A57" s="299" t="s">
        <v>38</v>
      </c>
      <c r="B57" s="345">
        <f>SUM(B48:B56)</f>
        <v>102274.39</v>
      </c>
      <c r="C57" s="345">
        <f>SUM(C48:C56)</f>
        <v>928781.48</v>
      </c>
      <c r="D57" s="345">
        <f>SUM(D48:D56)</f>
        <v>604896.21</v>
      </c>
      <c r="E57" s="345">
        <f>SUM(E48:E56)</f>
        <v>339698.10000000003</v>
      </c>
      <c r="F57" s="345">
        <f>SUM(F48:F56)</f>
        <v>111570.08</v>
      </c>
    </row>
    <row r="58" spans="1:8" ht="15" customHeight="1" x14ac:dyDescent="0.3">
      <c r="A58" s="307"/>
      <c r="B58" s="348"/>
      <c r="C58" s="350"/>
      <c r="D58" s="348"/>
      <c r="E58" s="350"/>
      <c r="F58" s="348"/>
    </row>
    <row r="59" spans="1:8" ht="15" customHeight="1" x14ac:dyDescent="0.3">
      <c r="A59" s="294" t="s">
        <v>39</v>
      </c>
      <c r="B59" s="352"/>
      <c r="C59" s="354"/>
      <c r="D59" s="352"/>
      <c r="E59" s="354"/>
      <c r="F59" s="352"/>
    </row>
    <row r="60" spans="1:8" ht="15" customHeight="1" x14ac:dyDescent="0.3">
      <c r="A60" s="278" t="s">
        <v>117</v>
      </c>
      <c r="B60" s="802">
        <v>0</v>
      </c>
      <c r="C60" s="802">
        <v>0</v>
      </c>
      <c r="D60" s="802">
        <v>0</v>
      </c>
      <c r="E60" s="354">
        <v>0</v>
      </c>
      <c r="F60" s="352">
        <v>0</v>
      </c>
    </row>
    <row r="61" spans="1:8" ht="15" customHeight="1" x14ac:dyDescent="0.3">
      <c r="A61" s="278" t="s">
        <v>40</v>
      </c>
      <c r="B61" s="802">
        <v>242415.47</v>
      </c>
      <c r="C61" s="802">
        <v>232312.13</v>
      </c>
      <c r="D61" s="802">
        <v>221982.86</v>
      </c>
      <c r="E61" s="354">
        <v>211625.06</v>
      </c>
      <c r="F61" s="352">
        <v>200448.09</v>
      </c>
    </row>
    <row r="62" spans="1:8" ht="15" customHeight="1" x14ac:dyDescent="0.3">
      <c r="A62" s="280"/>
      <c r="B62" s="355"/>
      <c r="C62" s="362"/>
      <c r="D62" s="355"/>
      <c r="E62" s="362"/>
      <c r="F62" s="355"/>
    </row>
    <row r="63" spans="1:8" ht="15" customHeight="1" x14ac:dyDescent="0.3">
      <c r="A63" s="299" t="s">
        <v>41</v>
      </c>
      <c r="B63" s="345">
        <f>SUM(B60:B62)</f>
        <v>242415.47</v>
      </c>
      <c r="C63" s="345">
        <f>SUM(C60:C62)</f>
        <v>232312.13</v>
      </c>
      <c r="D63" s="345">
        <f>SUM(D60:D62)</f>
        <v>221982.86</v>
      </c>
      <c r="E63" s="345">
        <f>SUM(E60:E62)</f>
        <v>211625.06</v>
      </c>
      <c r="F63" s="345">
        <f>SUM(F60:F62)</f>
        <v>200448.09</v>
      </c>
      <c r="H63" s="45"/>
    </row>
    <row r="64" spans="1:8" ht="15" customHeight="1" x14ac:dyDescent="0.3">
      <c r="A64" s="307"/>
      <c r="B64" s="348"/>
      <c r="C64" s="350"/>
      <c r="D64" s="348"/>
      <c r="E64" s="350"/>
      <c r="F64" s="348"/>
    </row>
    <row r="65" spans="1:9" ht="15" customHeight="1" x14ac:dyDescent="0.3">
      <c r="A65" s="294" t="s">
        <v>42</v>
      </c>
      <c r="B65" s="352"/>
      <c r="C65" s="354"/>
      <c r="D65" s="352"/>
      <c r="E65" s="354"/>
      <c r="F65" s="352"/>
    </row>
    <row r="66" spans="1:9" ht="15" customHeight="1" x14ac:dyDescent="0.3">
      <c r="A66" s="278" t="s">
        <v>43</v>
      </c>
      <c r="B66" s="802">
        <v>0</v>
      </c>
      <c r="C66" s="802">
        <v>0</v>
      </c>
      <c r="D66" s="802">
        <v>0</v>
      </c>
      <c r="E66" s="354">
        <v>0</v>
      </c>
      <c r="F66" s="352">
        <v>0</v>
      </c>
    </row>
    <row r="67" spans="1:9" ht="15" customHeight="1" x14ac:dyDescent="0.3">
      <c r="A67" s="278" t="s">
        <v>44</v>
      </c>
      <c r="B67" s="802">
        <v>0</v>
      </c>
      <c r="C67" s="802">
        <v>0</v>
      </c>
      <c r="D67" s="802">
        <v>0</v>
      </c>
      <c r="E67" s="354">
        <v>0</v>
      </c>
      <c r="F67" s="352">
        <v>0</v>
      </c>
      <c r="I67" s="45"/>
    </row>
    <row r="68" spans="1:9" ht="15" customHeight="1" x14ac:dyDescent="0.3">
      <c r="A68" s="278" t="s">
        <v>45</v>
      </c>
      <c r="B68" s="802">
        <v>0</v>
      </c>
      <c r="C68" s="802">
        <v>0</v>
      </c>
      <c r="D68" s="802">
        <v>0</v>
      </c>
      <c r="E68" s="354">
        <v>0</v>
      </c>
      <c r="F68" s="352">
        <v>0</v>
      </c>
    </row>
    <row r="69" spans="1:9" ht="15" customHeight="1" x14ac:dyDescent="0.3">
      <c r="A69" s="279" t="s">
        <v>46</v>
      </c>
      <c r="B69" s="802">
        <v>893216.68</v>
      </c>
      <c r="C69" s="802">
        <v>859052.47</v>
      </c>
      <c r="D69" s="802">
        <v>900696.61</v>
      </c>
      <c r="E69" s="362">
        <v>971753.47</v>
      </c>
      <c r="F69" s="355">
        <v>932975.96</v>
      </c>
    </row>
    <row r="70" spans="1:9" ht="15" customHeight="1" x14ac:dyDescent="0.3">
      <c r="A70" s="299" t="s">
        <v>47</v>
      </c>
      <c r="B70" s="345">
        <f>SUM(B66:B69)</f>
        <v>893216.68</v>
      </c>
      <c r="C70" s="345">
        <f>SUM(C66:C69)</f>
        <v>859052.47</v>
      </c>
      <c r="D70" s="345">
        <f>SUM(D66:D69)</f>
        <v>900696.61</v>
      </c>
      <c r="E70" s="345">
        <f>SUM(E66:E69)</f>
        <v>971753.47</v>
      </c>
      <c r="F70" s="345">
        <f>SUM(F66:F69)</f>
        <v>932975.96</v>
      </c>
    </row>
    <row r="71" spans="1:9" ht="15.75" customHeight="1" x14ac:dyDescent="0.3">
      <c r="A71" s="308"/>
      <c r="B71" s="373"/>
      <c r="C71" s="375"/>
      <c r="D71" s="373"/>
      <c r="E71" s="375"/>
      <c r="F71" s="373"/>
    </row>
    <row r="72" spans="1:9" ht="16.5" customHeight="1" thickBot="1" x14ac:dyDescent="0.35">
      <c r="A72" s="309" t="s">
        <v>48</v>
      </c>
      <c r="B72" s="377">
        <f>B70+B63+B57</f>
        <v>1237906.54</v>
      </c>
      <c r="C72" s="377">
        <f>C70+C63+C57</f>
        <v>2020146.08</v>
      </c>
      <c r="D72" s="377">
        <f>D70+D63+D57</f>
        <v>1727575.68</v>
      </c>
      <c r="E72" s="377">
        <f>E70+E63+E57</f>
        <v>1523076.6300000001</v>
      </c>
      <c r="F72" s="377">
        <f>F70+F63+F57</f>
        <v>1244994.1300000001</v>
      </c>
    </row>
  </sheetData>
  <sheetProtection algorithmName="SHA-512" hashValue="flJL/6fBC0DCxGvV07Nf7xHyU97c7ZR/9ZJ1SM9Qfso4HdJ5bCYxZRQhNoqB5aet2dU8pjUlTP97jjtjwTr0QA==" saltValue="oEh4vnh6iyJ9O9I4EAOC4Q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59999389629810485"/>
    <pageSetUpPr fitToPage="1"/>
  </sheetPr>
  <dimension ref="A1:AG85"/>
  <sheetViews>
    <sheetView zoomScale="70" zoomScaleNormal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5" sqref="E15"/>
    </sheetView>
  </sheetViews>
  <sheetFormatPr defaultRowHeight="18.75" x14ac:dyDescent="0.3"/>
  <cols>
    <col min="1" max="1" width="59.85546875" style="46" customWidth="1"/>
    <col min="2" max="3" width="14.140625" style="45" customWidth="1"/>
    <col min="4" max="4" width="13.140625" style="45" customWidth="1"/>
    <col min="5" max="5" width="16.7109375" style="322" customWidth="1"/>
    <col min="6" max="6" width="1" style="46" customWidth="1"/>
    <col min="7" max="8" width="14.28515625" style="45" customWidth="1"/>
    <col min="9" max="9" width="12.140625" style="45" customWidth="1"/>
    <col min="10" max="10" width="16.42578125" style="322" customWidth="1"/>
    <col min="11" max="11" width="1.140625" style="46" customWidth="1"/>
    <col min="12" max="12" width="14" style="45" customWidth="1"/>
    <col min="13" max="13" width="14.140625" style="45" customWidth="1"/>
    <col min="14" max="14" width="12.85546875" style="45" customWidth="1"/>
    <col min="15" max="15" width="13.7109375" style="277" customWidth="1"/>
    <col min="16" max="16" width="1" style="46" customWidth="1"/>
    <col min="17" max="17" width="13.85546875" style="45" customWidth="1"/>
    <col min="18" max="18" width="13.140625" style="45" customWidth="1"/>
    <col min="19" max="19" width="12.85546875" style="45" customWidth="1"/>
    <col min="20" max="20" width="13.42578125" style="277" customWidth="1"/>
    <col min="21" max="21" width="1.28515625" style="46" customWidth="1"/>
    <col min="22" max="22" width="14.28515625" style="45" customWidth="1"/>
    <col min="23" max="23" width="14.140625" style="45" customWidth="1"/>
    <col min="24" max="24" width="13" style="45" customWidth="1"/>
    <col min="25" max="25" width="15.7109375" style="277" customWidth="1"/>
    <col min="26" max="26" width="1.28515625" style="46" customWidth="1"/>
    <col min="27" max="27" width="16.28515625" style="45" customWidth="1"/>
    <col min="28" max="28" width="14.5703125" style="45" customWidth="1"/>
    <col min="29" max="29" width="17.710937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s="49" customFormat="1" x14ac:dyDescent="0.3">
      <c r="A1" s="1782" t="s">
        <v>49</v>
      </c>
      <c r="B1" s="1783"/>
      <c r="C1" s="1783"/>
      <c r="D1" s="1783"/>
      <c r="E1" s="1783"/>
      <c r="F1" s="1783"/>
      <c r="G1" s="1783"/>
      <c r="H1" s="1783"/>
      <c r="I1" s="526"/>
      <c r="J1" s="312"/>
      <c r="K1" s="110"/>
      <c r="L1" s="528"/>
      <c r="M1" s="528"/>
      <c r="N1" s="528"/>
      <c r="O1" s="112"/>
      <c r="P1" s="126"/>
      <c r="Q1" s="529"/>
      <c r="R1" s="530"/>
      <c r="S1" s="530"/>
      <c r="T1" s="115"/>
      <c r="U1" s="126"/>
      <c r="V1" s="532"/>
      <c r="W1" s="532"/>
      <c r="X1" s="532"/>
      <c r="Y1" s="128"/>
      <c r="Z1" s="126"/>
      <c r="AA1" s="527"/>
      <c r="AB1" s="527"/>
      <c r="AC1" s="128"/>
      <c r="AD1" s="126"/>
      <c r="AE1" s="129"/>
    </row>
    <row r="2" spans="1:31" s="49" customFormat="1" x14ac:dyDescent="0.3">
      <c r="A2" s="1782"/>
      <c r="B2" s="1783"/>
      <c r="C2" s="1783"/>
      <c r="D2" s="1783"/>
      <c r="E2" s="1783"/>
      <c r="F2" s="1783"/>
      <c r="G2" s="1783"/>
      <c r="H2" s="1783"/>
      <c r="I2" s="526"/>
      <c r="J2" s="312"/>
      <c r="K2" s="110"/>
      <c r="L2" s="528"/>
      <c r="M2" s="528"/>
      <c r="N2" s="528"/>
      <c r="O2" s="112"/>
      <c r="P2" s="126"/>
      <c r="Q2" s="529"/>
      <c r="R2" s="530"/>
      <c r="S2" s="530"/>
      <c r="T2" s="115"/>
      <c r="U2" s="126"/>
      <c r="V2" s="532"/>
      <c r="W2" s="532"/>
      <c r="X2" s="532"/>
      <c r="Y2" s="128"/>
      <c r="Z2" s="126"/>
      <c r="AA2" s="527"/>
      <c r="AB2" s="527"/>
      <c r="AC2" s="128"/>
      <c r="AD2" s="126"/>
      <c r="AE2" s="129"/>
    </row>
    <row r="3" spans="1:31" s="49" customFormat="1" x14ac:dyDescent="0.3">
      <c r="A3" s="1751" t="s">
        <v>171</v>
      </c>
      <c r="B3" s="1752"/>
      <c r="C3" s="1752"/>
      <c r="D3" s="1752"/>
      <c r="E3" s="1752"/>
      <c r="F3" s="1752"/>
      <c r="G3" s="1752"/>
      <c r="H3" s="1752"/>
      <c r="I3" s="888"/>
      <c r="J3" s="312"/>
      <c r="K3" s="110"/>
      <c r="L3" s="528"/>
      <c r="M3" s="528"/>
      <c r="N3" s="528"/>
      <c r="O3" s="112"/>
      <c r="P3" s="126"/>
      <c r="Q3" s="529"/>
      <c r="R3" s="530"/>
      <c r="S3" s="530"/>
      <c r="T3" s="115"/>
      <c r="U3" s="126"/>
      <c r="V3" s="532"/>
      <c r="W3" s="532"/>
      <c r="X3" s="532"/>
      <c r="Y3" s="128"/>
      <c r="Z3" s="126"/>
      <c r="AA3" s="527"/>
      <c r="AB3" s="527"/>
      <c r="AC3" s="128"/>
      <c r="AD3" s="126"/>
      <c r="AE3" s="129"/>
    </row>
    <row r="4" spans="1:31" s="49" customFormat="1" x14ac:dyDescent="0.3">
      <c r="A4" s="1782" t="s">
        <v>51</v>
      </c>
      <c r="B4" s="1783"/>
      <c r="C4" s="1783"/>
      <c r="D4" s="1783"/>
      <c r="E4" s="1783"/>
      <c r="F4" s="1783"/>
      <c r="G4" s="1783"/>
      <c r="H4" s="1783"/>
      <c r="I4" s="526"/>
      <c r="J4" s="312"/>
      <c r="K4" s="110"/>
      <c r="L4" s="528"/>
      <c r="M4" s="528"/>
      <c r="N4" s="528"/>
      <c r="O4" s="112"/>
      <c r="P4" s="126"/>
      <c r="Q4" s="529"/>
      <c r="R4" s="530"/>
      <c r="S4" s="530"/>
      <c r="T4" s="115"/>
      <c r="U4" s="126"/>
      <c r="V4" s="532"/>
      <c r="W4" s="532"/>
      <c r="X4" s="532"/>
      <c r="Y4" s="128"/>
      <c r="Z4" s="126"/>
      <c r="AA4" s="527"/>
      <c r="AB4" s="527"/>
      <c r="AC4" s="128"/>
      <c r="AD4" s="126"/>
      <c r="AE4" s="129"/>
    </row>
    <row r="5" spans="1:31" s="49" customFormat="1" x14ac:dyDescent="0.3">
      <c r="A5" s="1782" t="s">
        <v>52</v>
      </c>
      <c r="B5" s="1783"/>
      <c r="C5" s="1783"/>
      <c r="D5" s="1783"/>
      <c r="E5" s="1783"/>
      <c r="F5" s="1783"/>
      <c r="G5" s="1783"/>
      <c r="H5" s="1783"/>
      <c r="I5" s="526"/>
      <c r="J5" s="312"/>
      <c r="K5" s="110"/>
      <c r="L5" s="528"/>
      <c r="M5" s="528"/>
      <c r="N5" s="528"/>
      <c r="O5" s="112"/>
      <c r="P5" s="126"/>
      <c r="Q5" s="529"/>
      <c r="R5" s="530"/>
      <c r="S5" s="530"/>
      <c r="T5" s="115"/>
      <c r="U5" s="126"/>
      <c r="V5" s="532"/>
      <c r="W5" s="532"/>
      <c r="X5" s="532"/>
      <c r="Y5" s="128"/>
      <c r="Z5" s="126"/>
      <c r="AA5" s="527"/>
      <c r="AB5" s="527"/>
      <c r="AC5" s="128"/>
      <c r="AD5" s="126"/>
      <c r="AE5" s="129"/>
    </row>
    <row r="6" spans="1:31" s="49" customFormat="1" x14ac:dyDescent="0.3">
      <c r="A6" s="1751" t="s">
        <v>191</v>
      </c>
      <c r="B6" s="1752"/>
      <c r="C6" s="1752"/>
      <c r="D6" s="1752"/>
      <c r="E6" s="1752"/>
      <c r="F6" s="1752"/>
      <c r="G6" s="1752"/>
      <c r="H6" s="1752"/>
      <c r="I6" s="526"/>
      <c r="J6" s="312"/>
      <c r="K6" s="110"/>
      <c r="L6" s="528"/>
      <c r="M6" s="528"/>
      <c r="N6" s="528"/>
      <c r="O6" s="112"/>
      <c r="P6" s="126"/>
      <c r="Q6" s="529"/>
      <c r="R6" s="530"/>
      <c r="S6" s="530"/>
      <c r="T6" s="115"/>
      <c r="U6" s="126"/>
      <c r="V6" s="532"/>
      <c r="W6" s="532"/>
      <c r="X6" s="532"/>
      <c r="Y6" s="128"/>
      <c r="Z6" s="126"/>
      <c r="AA6" s="532"/>
      <c r="AB6" s="532"/>
      <c r="AC6" s="128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526"/>
      <c r="J7" s="312"/>
      <c r="K7" s="110"/>
      <c r="L7" s="528"/>
      <c r="M7" s="528"/>
      <c r="N7" s="528"/>
      <c r="O7" s="112"/>
      <c r="P7" s="126"/>
      <c r="Q7" s="529"/>
      <c r="R7" s="530"/>
      <c r="S7" s="530"/>
      <c r="T7" s="115"/>
      <c r="U7" s="126"/>
      <c r="V7" s="532"/>
      <c r="W7" s="532"/>
      <c r="X7" s="532"/>
      <c r="Y7" s="128"/>
      <c r="Z7" s="126"/>
      <c r="AA7" s="532"/>
      <c r="AB7" s="532"/>
      <c r="AC7" s="128"/>
      <c r="AD7" s="126"/>
      <c r="AE7" s="129"/>
    </row>
    <row r="8" spans="1:31" ht="19.5" thickBot="1" x14ac:dyDescent="0.35">
      <c r="A8" s="1784" t="s">
        <v>169</v>
      </c>
      <c r="B8" s="1785"/>
      <c r="C8" s="1785"/>
      <c r="D8" s="1785"/>
      <c r="E8" s="1785"/>
      <c r="F8" s="1785"/>
      <c r="G8" s="1785"/>
      <c r="H8" s="1785"/>
      <c r="I8" s="531"/>
      <c r="J8" s="313"/>
      <c r="K8" s="130"/>
      <c r="L8" s="531"/>
      <c r="M8" s="531"/>
      <c r="N8" s="531"/>
      <c r="O8" s="124"/>
      <c r="P8" s="130"/>
      <c r="Q8" s="531"/>
      <c r="R8" s="531"/>
      <c r="S8" s="531"/>
      <c r="T8" s="124"/>
      <c r="U8" s="130"/>
      <c r="V8" s="531"/>
      <c r="W8" s="531"/>
      <c r="X8" s="531"/>
      <c r="Y8" s="124"/>
      <c r="Z8" s="130"/>
      <c r="AA8" s="531"/>
      <c r="AB8" s="531"/>
      <c r="AC8" s="124"/>
      <c r="AD8" s="130"/>
      <c r="AE8" s="125"/>
    </row>
    <row r="9" spans="1:31" ht="18.75" customHeight="1" x14ac:dyDescent="0.3">
      <c r="A9" s="1251"/>
      <c r="B9" s="1720" t="s">
        <v>53</v>
      </c>
      <c r="C9" s="1717"/>
      <c r="D9" s="1718"/>
      <c r="E9" s="1719"/>
      <c r="F9" s="1239"/>
      <c r="G9" s="1790" t="s">
        <v>54</v>
      </c>
      <c r="H9" s="1791"/>
      <c r="I9" s="1791"/>
      <c r="J9" s="1792"/>
      <c r="K9" s="1240"/>
      <c r="L9" s="1742" t="s">
        <v>55</v>
      </c>
      <c r="M9" s="1742"/>
      <c r="N9" s="1742"/>
      <c r="O9" s="1743"/>
      <c r="P9" s="1239"/>
      <c r="Q9" s="1725" t="s">
        <v>56</v>
      </c>
      <c r="R9" s="1744"/>
      <c r="S9" s="1744"/>
      <c r="T9" s="1744"/>
      <c r="U9" s="794"/>
      <c r="V9" s="1745" t="s">
        <v>57</v>
      </c>
      <c r="W9" s="1726"/>
      <c r="X9" s="1726"/>
      <c r="Y9" s="1793"/>
      <c r="Z9" s="1239"/>
      <c r="AA9" s="1745" t="s">
        <v>190</v>
      </c>
      <c r="AB9" s="1726"/>
      <c r="AC9" s="1793"/>
      <c r="AD9" s="1239"/>
      <c r="AE9" s="1738" t="s">
        <v>58</v>
      </c>
    </row>
    <row r="10" spans="1:31" ht="37.5" customHeight="1" x14ac:dyDescent="0.3">
      <c r="A10" s="1252" t="s">
        <v>59</v>
      </c>
      <c r="B10" s="1531" t="s">
        <v>60</v>
      </c>
      <c r="C10" s="1011" t="s">
        <v>61</v>
      </c>
      <c r="D10" s="1710" t="s">
        <v>62</v>
      </c>
      <c r="E10" s="1711"/>
      <c r="F10" s="139"/>
      <c r="G10" s="1531" t="s">
        <v>60</v>
      </c>
      <c r="H10" s="533" t="s">
        <v>61</v>
      </c>
      <c r="I10" s="1712" t="s">
        <v>62</v>
      </c>
      <c r="J10" s="1788"/>
      <c r="K10" s="918"/>
      <c r="L10" s="1011" t="s">
        <v>60</v>
      </c>
      <c r="M10" s="533" t="s">
        <v>61</v>
      </c>
      <c r="N10" s="1712" t="s">
        <v>62</v>
      </c>
      <c r="O10" s="1788"/>
      <c r="P10" s="139"/>
      <c r="Q10" s="534" t="s">
        <v>60</v>
      </c>
      <c r="R10" s="535" t="s">
        <v>61</v>
      </c>
      <c r="S10" s="1714" t="s">
        <v>62</v>
      </c>
      <c r="T10" s="1710"/>
      <c r="U10" s="795"/>
      <c r="V10" s="534" t="s">
        <v>60</v>
      </c>
      <c r="W10" s="535" t="s">
        <v>61</v>
      </c>
      <c r="X10" s="1714" t="s">
        <v>62</v>
      </c>
      <c r="Y10" s="1789"/>
      <c r="Z10" s="139"/>
      <c r="AA10" s="536" t="s">
        <v>63</v>
      </c>
      <c r="AB10" s="1714" t="s">
        <v>64</v>
      </c>
      <c r="AC10" s="1789"/>
      <c r="AD10" s="139"/>
      <c r="AE10" s="1786"/>
    </row>
    <row r="11" spans="1:31" ht="19.5" thickBot="1" x14ac:dyDescent="0.35">
      <c r="A11" s="1540"/>
      <c r="B11" s="1563" t="s">
        <v>107</v>
      </c>
      <c r="C11" s="1545" t="s">
        <v>107</v>
      </c>
      <c r="D11" s="1542" t="s">
        <v>107</v>
      </c>
      <c r="E11" s="1543" t="s">
        <v>65</v>
      </c>
      <c r="F11" s="1551"/>
      <c r="G11" s="1563" t="s">
        <v>107</v>
      </c>
      <c r="H11" s="1541" t="s">
        <v>107</v>
      </c>
      <c r="I11" s="1546" t="s">
        <v>107</v>
      </c>
      <c r="J11" s="1543" t="s">
        <v>65</v>
      </c>
      <c r="K11" s="1547"/>
      <c r="L11" s="1545" t="s">
        <v>107</v>
      </c>
      <c r="M11" s="1541" t="s">
        <v>107</v>
      </c>
      <c r="N11" s="1546" t="s">
        <v>107</v>
      </c>
      <c r="O11" s="1035" t="s">
        <v>65</v>
      </c>
      <c r="P11" s="1544"/>
      <c r="Q11" s="1548" t="s">
        <v>107</v>
      </c>
      <c r="R11" s="1549" t="s">
        <v>107</v>
      </c>
      <c r="S11" s="1550" t="s">
        <v>107</v>
      </c>
      <c r="T11" s="1570" t="s">
        <v>65</v>
      </c>
      <c r="U11" s="1544"/>
      <c r="V11" s="1552" t="s">
        <v>107</v>
      </c>
      <c r="W11" s="1549" t="s">
        <v>107</v>
      </c>
      <c r="X11" s="1550" t="s">
        <v>107</v>
      </c>
      <c r="Y11" s="1035" t="s">
        <v>65</v>
      </c>
      <c r="Z11" s="1551"/>
      <c r="AA11" s="1552" t="s">
        <v>107</v>
      </c>
      <c r="AB11" s="1550" t="s">
        <v>107</v>
      </c>
      <c r="AC11" s="1035" t="s">
        <v>65</v>
      </c>
      <c r="AD11" s="1551"/>
      <c r="AE11" s="1787"/>
    </row>
    <row r="12" spans="1:31" x14ac:dyDescent="0.3">
      <c r="A12" s="1254"/>
      <c r="B12" s="1532"/>
      <c r="C12" s="1533"/>
      <c r="D12" s="1533"/>
      <c r="E12" s="326"/>
      <c r="F12" s="146"/>
      <c r="G12" s="1536"/>
      <c r="H12" s="1533"/>
      <c r="I12" s="1533"/>
      <c r="J12" s="326"/>
      <c r="K12" s="146"/>
      <c r="L12" s="1533"/>
      <c r="M12" s="1533"/>
      <c r="N12" s="1533"/>
      <c r="O12" s="1209"/>
      <c r="P12" s="146"/>
      <c r="Q12" s="1533"/>
      <c r="R12" s="1533"/>
      <c r="S12" s="1533"/>
      <c r="T12" s="1209"/>
      <c r="U12" s="796"/>
      <c r="V12" s="1536"/>
      <c r="W12" s="538"/>
      <c r="X12" s="537"/>
      <c r="Y12" s="152"/>
      <c r="Z12" s="146"/>
      <c r="AA12" s="1536"/>
      <c r="AB12" s="1533"/>
      <c r="AC12" s="152"/>
      <c r="AD12" s="156"/>
      <c r="AE12" s="1175"/>
    </row>
    <row r="13" spans="1:31" x14ac:dyDescent="0.3">
      <c r="A13" s="1256" t="s">
        <v>66</v>
      </c>
      <c r="B13" s="1534"/>
      <c r="C13" s="1012"/>
      <c r="D13" s="1553"/>
      <c r="E13" s="1554"/>
      <c r="F13" s="1569"/>
      <c r="G13" s="1004"/>
      <c r="H13" s="409"/>
      <c r="I13" s="409"/>
      <c r="J13" s="1556"/>
      <c r="K13" s="1554"/>
      <c r="L13" s="915"/>
      <c r="M13" s="409"/>
      <c r="N13" s="409"/>
      <c r="O13" s="1556"/>
      <c r="P13" s="1555"/>
      <c r="Q13" s="1557"/>
      <c r="R13" s="1553"/>
      <c r="S13" s="409"/>
      <c r="T13" s="1571"/>
      <c r="U13" s="1555"/>
      <c r="V13" s="1581"/>
      <c r="W13" s="1571"/>
      <c r="X13" s="1553"/>
      <c r="Y13" s="1554"/>
      <c r="Z13" s="1569"/>
      <c r="AA13" s="1583"/>
      <c r="AB13" s="409"/>
      <c r="AC13" s="1556"/>
      <c r="AD13" s="160"/>
      <c r="AE13" s="1176"/>
    </row>
    <row r="14" spans="1:31" x14ac:dyDescent="0.3">
      <c r="A14" s="1106" t="s">
        <v>132</v>
      </c>
      <c r="B14" s="1535">
        <v>258203</v>
      </c>
      <c r="C14" s="1013">
        <v>258203.01</v>
      </c>
      <c r="D14" s="416">
        <f>C14-B14</f>
        <v>1.0000000009313226E-2</v>
      </c>
      <c r="E14" s="901">
        <f>IF(ISERROR(D14/B14),"-",D14/B14)</f>
        <v>3.8729216970032208E-8</v>
      </c>
      <c r="F14" s="160"/>
      <c r="G14" s="1535">
        <v>258203</v>
      </c>
      <c r="H14" s="1013">
        <v>258203.01</v>
      </c>
      <c r="I14" s="416">
        <f>H14-G14</f>
        <v>1.0000000009313226E-2</v>
      </c>
      <c r="J14" s="926">
        <f>IF(ISERROR(I14/G14),"-",I14/G14)</f>
        <v>3.8729216970032208E-8</v>
      </c>
      <c r="K14" s="909"/>
      <c r="L14" s="604">
        <v>258203</v>
      </c>
      <c r="M14" s="567">
        <v>272953.02</v>
      </c>
      <c r="N14" s="416">
        <f>M14-L14</f>
        <v>14750.020000000019</v>
      </c>
      <c r="O14" s="731">
        <f>IF(ISERROR(N14/L14),"-",N14/L14)</f>
        <v>5.712567243602909E-2</v>
      </c>
      <c r="P14" s="781"/>
      <c r="Q14" s="604">
        <v>258203</v>
      </c>
      <c r="R14" s="1678">
        <v>272953.96000000002</v>
      </c>
      <c r="S14" s="416">
        <f>R14-Q14</f>
        <v>14750.960000000021</v>
      </c>
      <c r="T14" s="766">
        <f t="shared" ref="T14:T29" si="0">IF(ISERROR(S14/Q14),"-",S14/Q14)</f>
        <v>5.7129312982420889E-2</v>
      </c>
      <c r="U14" s="781"/>
      <c r="V14" s="889">
        <f t="shared" ref="V14:W16" si="1">SUM(B14+G14+L14+Q14)</f>
        <v>1032812</v>
      </c>
      <c r="W14" s="891">
        <f>SUM(C14+H14+M14+R14)</f>
        <v>1062313</v>
      </c>
      <c r="X14" s="416">
        <f>W14-V14</f>
        <v>29501</v>
      </c>
      <c r="Y14" s="901">
        <f>IF(ISERROR(X14/V14),"-",X14/V14)</f>
        <v>2.8563765719220924E-2</v>
      </c>
      <c r="Z14" s="163"/>
      <c r="AA14" s="414">
        <v>1032812</v>
      </c>
      <c r="AB14" s="416">
        <f>AA14-W14</f>
        <v>-29501</v>
      </c>
      <c r="AC14" s="731">
        <f>IF(ISERROR(AB14/AA14),"-",AB14/AA14)</f>
        <v>-2.8563765719220924E-2</v>
      </c>
      <c r="AD14" s="166"/>
      <c r="AE14" s="1178"/>
    </row>
    <row r="15" spans="1:31" x14ac:dyDescent="0.3">
      <c r="A15" s="1096" t="s">
        <v>111</v>
      </c>
      <c r="B15" s="1535">
        <v>0</v>
      </c>
      <c r="C15" s="1013">
        <v>0</v>
      </c>
      <c r="D15" s="416">
        <f>C15-B15</f>
        <v>0</v>
      </c>
      <c r="E15" s="901" t="str">
        <f t="shared" ref="E15:E24" si="2">IF(ISERROR(D15/B15),"-",D15/B15)</f>
        <v>-</v>
      </c>
      <c r="F15" s="166"/>
      <c r="G15" s="1535">
        <v>0</v>
      </c>
      <c r="H15" s="1013">
        <v>0</v>
      </c>
      <c r="I15" s="416">
        <f>H15-G15</f>
        <v>0</v>
      </c>
      <c r="J15" s="926" t="str">
        <f>IF(ISERROR(I15/G15),"-",I15/G15)</f>
        <v>-</v>
      </c>
      <c r="K15" s="910"/>
      <c r="L15" s="604">
        <v>0</v>
      </c>
      <c r="M15" s="604">
        <v>0</v>
      </c>
      <c r="N15" s="416">
        <f>M15-L15</f>
        <v>0</v>
      </c>
      <c r="O15" s="731" t="str">
        <f t="shared" ref="O15:O24" si="3">IF(ISERROR(N15/L15),"-",N15/L15)</f>
        <v>-</v>
      </c>
      <c r="P15" s="782"/>
      <c r="Q15" s="1008">
        <v>0</v>
      </c>
      <c r="R15" s="1008">
        <v>0</v>
      </c>
      <c r="S15" s="416">
        <f>R15-Q15</f>
        <v>0</v>
      </c>
      <c r="T15" s="766" t="str">
        <f t="shared" si="0"/>
        <v>-</v>
      </c>
      <c r="U15" s="782"/>
      <c r="V15" s="889">
        <f t="shared" si="1"/>
        <v>0</v>
      </c>
      <c r="W15" s="891">
        <f t="shared" si="1"/>
        <v>0</v>
      </c>
      <c r="X15" s="416">
        <f>W15-V15</f>
        <v>0</v>
      </c>
      <c r="Y15" s="901" t="str">
        <f t="shared" ref="Y15:Y25" si="4">IF(ISERROR(X15/V15),"-",X15/V15)</f>
        <v>-</v>
      </c>
      <c r="Z15" s="169"/>
      <c r="AA15" s="414">
        <v>0</v>
      </c>
      <c r="AB15" s="416">
        <f t="shared" ref="AB15:AB24" si="5">AA15-W15</f>
        <v>0</v>
      </c>
      <c r="AC15" s="731" t="str">
        <f t="shared" ref="AC15:AC24" si="6">IF(ISERROR(AB15/AA15),"-",AB15/AA15)</f>
        <v>-</v>
      </c>
      <c r="AD15" s="166"/>
      <c r="AE15" s="1178"/>
    </row>
    <row r="16" spans="1:31" x14ac:dyDescent="0.3">
      <c r="A16" s="1096" t="s">
        <v>69</v>
      </c>
      <c r="B16" s="1535">
        <v>0</v>
      </c>
      <c r="C16" s="1013">
        <v>0</v>
      </c>
      <c r="D16" s="416">
        <f t="shared" ref="D16:D24" si="7">C16-B16</f>
        <v>0</v>
      </c>
      <c r="E16" s="901" t="str">
        <f t="shared" si="2"/>
        <v>-</v>
      </c>
      <c r="F16" s="166"/>
      <c r="G16" s="1535">
        <v>0</v>
      </c>
      <c r="H16" s="1013">
        <v>0</v>
      </c>
      <c r="I16" s="416">
        <f t="shared" ref="I16:I24" si="8">H16-G16</f>
        <v>0</v>
      </c>
      <c r="J16" s="926" t="str">
        <f>IF(ISERROR(I16/G16),"-",I16/G16)</f>
        <v>-</v>
      </c>
      <c r="K16" s="166"/>
      <c r="L16" s="604">
        <v>0</v>
      </c>
      <c r="M16" s="604">
        <v>0</v>
      </c>
      <c r="N16" s="416">
        <f t="shared" ref="N16:N24" si="9">M16-L16</f>
        <v>0</v>
      </c>
      <c r="O16" s="731" t="str">
        <f t="shared" si="3"/>
        <v>-</v>
      </c>
      <c r="P16" s="166"/>
      <c r="Q16" s="1008">
        <v>0</v>
      </c>
      <c r="R16" s="1678">
        <f>2277.06</f>
        <v>2277.06</v>
      </c>
      <c r="S16" s="416">
        <f t="shared" ref="S16:S24" si="10">R16-Q16</f>
        <v>2277.06</v>
      </c>
      <c r="T16" s="766" t="str">
        <f t="shared" si="0"/>
        <v>-</v>
      </c>
      <c r="U16" s="782"/>
      <c r="V16" s="889">
        <f t="shared" si="1"/>
        <v>0</v>
      </c>
      <c r="W16" s="891">
        <f t="shared" si="1"/>
        <v>2277.06</v>
      </c>
      <c r="X16" s="416">
        <f t="shared" ref="X16:X24" si="11">W16-V16</f>
        <v>2277.06</v>
      </c>
      <c r="Y16" s="901" t="str">
        <f t="shared" si="4"/>
        <v>-</v>
      </c>
      <c r="Z16" s="169"/>
      <c r="AA16" s="414">
        <v>0</v>
      </c>
      <c r="AB16" s="416">
        <f t="shared" si="5"/>
        <v>-2277.06</v>
      </c>
      <c r="AC16" s="731" t="str">
        <f t="shared" si="6"/>
        <v>-</v>
      </c>
      <c r="AD16" s="171"/>
      <c r="AE16" s="1179"/>
    </row>
    <row r="17" spans="1:33" x14ac:dyDescent="0.3">
      <c r="A17" s="1096" t="s">
        <v>68</v>
      </c>
      <c r="B17" s="1535">
        <v>0</v>
      </c>
      <c r="C17" s="1013">
        <v>0</v>
      </c>
      <c r="D17" s="416">
        <f t="shared" si="7"/>
        <v>0</v>
      </c>
      <c r="E17" s="901" t="str">
        <f t="shared" si="2"/>
        <v>-</v>
      </c>
      <c r="F17" s="171"/>
      <c r="G17" s="1535">
        <v>0</v>
      </c>
      <c r="H17" s="1013">
        <v>0</v>
      </c>
      <c r="I17" s="416">
        <f t="shared" si="8"/>
        <v>0</v>
      </c>
      <c r="J17" s="926" t="str">
        <f t="shared" ref="J17:J25" si="12">IF(ISERROR(I17/G17),"-",I17/G17)</f>
        <v>-</v>
      </c>
      <c r="K17" s="171"/>
      <c r="L17" s="604">
        <v>0</v>
      </c>
      <c r="M17" s="604">
        <v>0</v>
      </c>
      <c r="N17" s="416">
        <f>M17-L17</f>
        <v>0</v>
      </c>
      <c r="O17" s="731" t="str">
        <f t="shared" si="3"/>
        <v>-</v>
      </c>
      <c r="P17" s="171"/>
      <c r="Q17" s="1008">
        <v>0</v>
      </c>
      <c r="R17" s="1008">
        <v>0</v>
      </c>
      <c r="S17" s="416">
        <f t="shared" si="10"/>
        <v>0</v>
      </c>
      <c r="T17" s="766" t="str">
        <f t="shared" si="0"/>
        <v>-</v>
      </c>
      <c r="U17" s="783"/>
      <c r="V17" s="889">
        <f>SUM(B17+G17+L17+Q17)</f>
        <v>0</v>
      </c>
      <c r="W17" s="891">
        <f>SUM(C17+H17+M17+R17)</f>
        <v>0</v>
      </c>
      <c r="X17" s="416">
        <f t="shared" si="11"/>
        <v>0</v>
      </c>
      <c r="Y17" s="901" t="str">
        <f t="shared" si="4"/>
        <v>-</v>
      </c>
      <c r="Z17" s="169"/>
      <c r="AA17" s="414">
        <v>0</v>
      </c>
      <c r="AB17" s="416">
        <f t="shared" si="5"/>
        <v>0</v>
      </c>
      <c r="AC17" s="731" t="str">
        <f t="shared" si="6"/>
        <v>-</v>
      </c>
      <c r="AD17" s="166"/>
      <c r="AE17" s="1178"/>
    </row>
    <row r="18" spans="1:33" x14ac:dyDescent="0.3">
      <c r="A18" s="1096" t="s">
        <v>71</v>
      </c>
      <c r="B18" s="1535">
        <v>0</v>
      </c>
      <c r="C18" s="1013">
        <v>0</v>
      </c>
      <c r="D18" s="416">
        <f t="shared" si="7"/>
        <v>0</v>
      </c>
      <c r="E18" s="901" t="str">
        <f t="shared" si="2"/>
        <v>-</v>
      </c>
      <c r="F18" s="166"/>
      <c r="G18" s="1535">
        <v>0</v>
      </c>
      <c r="H18" s="1013">
        <v>0</v>
      </c>
      <c r="I18" s="416">
        <f>H18-G18</f>
        <v>0</v>
      </c>
      <c r="J18" s="926" t="str">
        <f>IF(ISERROR(I18/G18),"-",I18/G18)</f>
        <v>-</v>
      </c>
      <c r="K18" s="166"/>
      <c r="L18" s="604">
        <v>0</v>
      </c>
      <c r="M18" s="604">
        <v>0</v>
      </c>
      <c r="N18" s="416">
        <f>M18-L18</f>
        <v>0</v>
      </c>
      <c r="O18" s="731" t="str">
        <f t="shared" si="3"/>
        <v>-</v>
      </c>
      <c r="P18" s="166"/>
      <c r="Q18" s="1008">
        <v>0</v>
      </c>
      <c r="R18" s="1008">
        <v>0</v>
      </c>
      <c r="S18" s="416">
        <f>R18-Q18</f>
        <v>0</v>
      </c>
      <c r="T18" s="766" t="str">
        <f t="shared" si="0"/>
        <v>-</v>
      </c>
      <c r="U18" s="782"/>
      <c r="V18" s="889">
        <f>SUM(B18+G18+L18+Q18)</f>
        <v>0</v>
      </c>
      <c r="W18" s="891">
        <f>SUM(C18+H18+M18+R18)</f>
        <v>0</v>
      </c>
      <c r="X18" s="416">
        <f t="shared" si="11"/>
        <v>0</v>
      </c>
      <c r="Y18" s="901" t="str">
        <f t="shared" si="4"/>
        <v>-</v>
      </c>
      <c r="Z18" s="169"/>
      <c r="AA18" s="414">
        <v>0</v>
      </c>
      <c r="AB18" s="416">
        <f>AA18-W18</f>
        <v>0</v>
      </c>
      <c r="AC18" s="731" t="str">
        <f t="shared" si="6"/>
        <v>-</v>
      </c>
      <c r="AD18" s="166"/>
      <c r="AE18" s="1178"/>
    </row>
    <row r="19" spans="1:33" x14ac:dyDescent="0.3">
      <c r="A19" s="1096" t="s">
        <v>188</v>
      </c>
      <c r="B19" s="1535">
        <v>0</v>
      </c>
      <c r="C19" s="1013">
        <v>0</v>
      </c>
      <c r="D19" s="416">
        <f t="shared" si="7"/>
        <v>0</v>
      </c>
      <c r="E19" s="901" t="str">
        <f t="shared" si="2"/>
        <v>-</v>
      </c>
      <c r="F19" s="166"/>
      <c r="G19" s="1535">
        <v>0</v>
      </c>
      <c r="H19" s="1013">
        <v>0</v>
      </c>
      <c r="I19" s="416">
        <f>H19-G19</f>
        <v>0</v>
      </c>
      <c r="J19" s="926" t="str">
        <f>IF(ISERROR(I19/G19),"-",I19/G19)</f>
        <v>-</v>
      </c>
      <c r="K19" s="166"/>
      <c r="L19" s="604">
        <v>0</v>
      </c>
      <c r="M19" s="604">
        <v>0</v>
      </c>
      <c r="N19" s="416">
        <f t="shared" si="9"/>
        <v>0</v>
      </c>
      <c r="O19" s="731" t="str">
        <f t="shared" si="3"/>
        <v>-</v>
      </c>
      <c r="P19" s="166"/>
      <c r="Q19" s="1008">
        <v>0</v>
      </c>
      <c r="R19" s="1008">
        <v>0</v>
      </c>
      <c r="S19" s="416">
        <f>R19-Q19</f>
        <v>0</v>
      </c>
      <c r="T19" s="766" t="str">
        <f t="shared" si="0"/>
        <v>-</v>
      </c>
      <c r="U19" s="782"/>
      <c r="V19" s="889">
        <f t="shared" ref="V19:V24" si="13">SUM(B19+G19+L19+Q19)</f>
        <v>0</v>
      </c>
      <c r="W19" s="891">
        <f t="shared" ref="W19:W24" si="14">SUM(C19+H19+M19+R19)</f>
        <v>0</v>
      </c>
      <c r="X19" s="416">
        <f t="shared" si="11"/>
        <v>0</v>
      </c>
      <c r="Y19" s="901" t="str">
        <f t="shared" si="4"/>
        <v>-</v>
      </c>
      <c r="Z19" s="169"/>
      <c r="AA19" s="414">
        <v>0</v>
      </c>
      <c r="AB19" s="416">
        <f t="shared" si="5"/>
        <v>0</v>
      </c>
      <c r="AC19" s="731" t="str">
        <f t="shared" si="6"/>
        <v>-</v>
      </c>
      <c r="AD19" s="166"/>
      <c r="AE19" s="1178"/>
    </row>
    <row r="20" spans="1:33" x14ac:dyDescent="0.3">
      <c r="A20" s="1260" t="s">
        <v>67</v>
      </c>
      <c r="B20" s="1535">
        <v>0</v>
      </c>
      <c r="C20" s="1013">
        <v>0</v>
      </c>
      <c r="D20" s="416">
        <f t="shared" si="7"/>
        <v>0</v>
      </c>
      <c r="E20" s="901" t="str">
        <f t="shared" si="2"/>
        <v>-</v>
      </c>
      <c r="F20" s="166"/>
      <c r="G20" s="1535">
        <v>0</v>
      </c>
      <c r="H20" s="1013">
        <v>0</v>
      </c>
      <c r="I20" s="416">
        <f t="shared" si="8"/>
        <v>0</v>
      </c>
      <c r="J20" s="926" t="str">
        <f t="shared" si="12"/>
        <v>-</v>
      </c>
      <c r="K20" s="166"/>
      <c r="L20" s="604">
        <v>0</v>
      </c>
      <c r="M20" s="604">
        <v>0</v>
      </c>
      <c r="N20" s="416">
        <f t="shared" si="9"/>
        <v>0</v>
      </c>
      <c r="O20" s="731" t="str">
        <f t="shared" si="3"/>
        <v>-</v>
      </c>
      <c r="P20" s="166"/>
      <c r="Q20" s="1008">
        <v>0</v>
      </c>
      <c r="R20" s="1008">
        <v>0</v>
      </c>
      <c r="S20" s="416">
        <f t="shared" si="10"/>
        <v>0</v>
      </c>
      <c r="T20" s="766" t="str">
        <f t="shared" si="0"/>
        <v>-</v>
      </c>
      <c r="U20" s="782"/>
      <c r="V20" s="889">
        <f t="shared" si="13"/>
        <v>0</v>
      </c>
      <c r="W20" s="891">
        <f t="shared" si="14"/>
        <v>0</v>
      </c>
      <c r="X20" s="416">
        <f t="shared" si="11"/>
        <v>0</v>
      </c>
      <c r="Y20" s="901" t="str">
        <f t="shared" si="4"/>
        <v>-</v>
      </c>
      <c r="Z20" s="169"/>
      <c r="AA20" s="414">
        <v>0</v>
      </c>
      <c r="AB20" s="416">
        <f t="shared" si="5"/>
        <v>0</v>
      </c>
      <c r="AC20" s="731" t="str">
        <f t="shared" si="6"/>
        <v>-</v>
      </c>
      <c r="AD20" s="166"/>
      <c r="AE20" s="1178"/>
    </row>
    <row r="21" spans="1:33" x14ac:dyDescent="0.3">
      <c r="A21" s="1106" t="s">
        <v>112</v>
      </c>
      <c r="B21" s="1535">
        <v>0</v>
      </c>
      <c r="C21" s="1013">
        <v>0</v>
      </c>
      <c r="D21" s="416">
        <f t="shared" si="7"/>
        <v>0</v>
      </c>
      <c r="E21" s="901" t="str">
        <f t="shared" si="2"/>
        <v>-</v>
      </c>
      <c r="F21" s="166"/>
      <c r="G21" s="1535">
        <v>0</v>
      </c>
      <c r="H21" s="1013">
        <v>0</v>
      </c>
      <c r="I21" s="416">
        <f t="shared" si="8"/>
        <v>0</v>
      </c>
      <c r="J21" s="926" t="str">
        <f t="shared" si="12"/>
        <v>-</v>
      </c>
      <c r="K21" s="166"/>
      <c r="L21" s="604">
        <v>0</v>
      </c>
      <c r="M21" s="604">
        <v>0</v>
      </c>
      <c r="N21" s="416">
        <f t="shared" si="9"/>
        <v>0</v>
      </c>
      <c r="O21" s="731" t="str">
        <f t="shared" si="3"/>
        <v>-</v>
      </c>
      <c r="P21" s="166"/>
      <c r="Q21" s="1008">
        <v>0</v>
      </c>
      <c r="R21" s="1008">
        <v>0</v>
      </c>
      <c r="S21" s="416">
        <f t="shared" si="10"/>
        <v>0</v>
      </c>
      <c r="T21" s="766" t="str">
        <f t="shared" si="0"/>
        <v>-</v>
      </c>
      <c r="U21" s="782"/>
      <c r="V21" s="889">
        <f t="shared" si="13"/>
        <v>0</v>
      </c>
      <c r="W21" s="891">
        <f t="shared" si="14"/>
        <v>0</v>
      </c>
      <c r="X21" s="416">
        <f t="shared" si="11"/>
        <v>0</v>
      </c>
      <c r="Y21" s="901" t="str">
        <f t="shared" si="4"/>
        <v>-</v>
      </c>
      <c r="Z21" s="169"/>
      <c r="AA21" s="414">
        <v>0</v>
      </c>
      <c r="AB21" s="416">
        <f t="shared" si="5"/>
        <v>0</v>
      </c>
      <c r="AC21" s="731" t="str">
        <f t="shared" si="6"/>
        <v>-</v>
      </c>
      <c r="AD21" s="166"/>
      <c r="AE21" s="1178"/>
      <c r="AG21" s="173"/>
    </row>
    <row r="22" spans="1:33" x14ac:dyDescent="0.3">
      <c r="A22" s="1096" t="s">
        <v>70</v>
      </c>
      <c r="B22" s="1535">
        <v>0</v>
      </c>
      <c r="C22" s="1013">
        <v>0</v>
      </c>
      <c r="D22" s="416">
        <f t="shared" si="7"/>
        <v>0</v>
      </c>
      <c r="E22" s="901" t="str">
        <f t="shared" si="2"/>
        <v>-</v>
      </c>
      <c r="F22" s="166"/>
      <c r="G22" s="1535">
        <v>0</v>
      </c>
      <c r="H22" s="1013">
        <v>0</v>
      </c>
      <c r="I22" s="416">
        <f t="shared" si="8"/>
        <v>0</v>
      </c>
      <c r="J22" s="926" t="str">
        <f t="shared" si="12"/>
        <v>-</v>
      </c>
      <c r="K22" s="166"/>
      <c r="L22" s="604">
        <v>0</v>
      </c>
      <c r="M22" s="604">
        <v>0</v>
      </c>
      <c r="N22" s="416">
        <f t="shared" si="9"/>
        <v>0</v>
      </c>
      <c r="O22" s="731" t="str">
        <f t="shared" si="3"/>
        <v>-</v>
      </c>
      <c r="P22" s="166"/>
      <c r="Q22" s="1008">
        <v>0</v>
      </c>
      <c r="R22" s="1008">
        <v>0</v>
      </c>
      <c r="S22" s="416">
        <f t="shared" si="10"/>
        <v>0</v>
      </c>
      <c r="T22" s="766" t="str">
        <f t="shared" si="0"/>
        <v>-</v>
      </c>
      <c r="U22" s="782"/>
      <c r="V22" s="889">
        <f t="shared" si="13"/>
        <v>0</v>
      </c>
      <c r="W22" s="891">
        <f t="shared" si="14"/>
        <v>0</v>
      </c>
      <c r="X22" s="416">
        <f t="shared" si="11"/>
        <v>0</v>
      </c>
      <c r="Y22" s="901" t="str">
        <f t="shared" si="4"/>
        <v>-</v>
      </c>
      <c r="Z22" s="169"/>
      <c r="AA22" s="414">
        <v>0</v>
      </c>
      <c r="AB22" s="416">
        <f t="shared" si="5"/>
        <v>0</v>
      </c>
      <c r="AC22" s="731" t="str">
        <f t="shared" si="6"/>
        <v>-</v>
      </c>
      <c r="AD22" s="166"/>
      <c r="AE22" s="1179"/>
    </row>
    <row r="23" spans="1:33" x14ac:dyDescent="0.3">
      <c r="A23" s="1096" t="s">
        <v>72</v>
      </c>
      <c r="B23" s="1535">
        <v>0</v>
      </c>
      <c r="C23" s="1013">
        <v>0</v>
      </c>
      <c r="D23" s="416">
        <f t="shared" si="7"/>
        <v>0</v>
      </c>
      <c r="E23" s="901" t="str">
        <f t="shared" si="2"/>
        <v>-</v>
      </c>
      <c r="F23" s="166"/>
      <c r="G23" s="1535">
        <v>0</v>
      </c>
      <c r="H23" s="1013">
        <v>0</v>
      </c>
      <c r="I23" s="416">
        <f t="shared" si="8"/>
        <v>0</v>
      </c>
      <c r="J23" s="926" t="str">
        <f t="shared" si="12"/>
        <v>-</v>
      </c>
      <c r="K23" s="166"/>
      <c r="L23" s="604">
        <v>0</v>
      </c>
      <c r="M23" s="604">
        <v>0</v>
      </c>
      <c r="N23" s="416">
        <f t="shared" si="9"/>
        <v>0</v>
      </c>
      <c r="O23" s="731" t="str">
        <f t="shared" si="3"/>
        <v>-</v>
      </c>
      <c r="P23" s="166"/>
      <c r="Q23" s="1008">
        <v>0</v>
      </c>
      <c r="R23" s="1008">
        <v>0</v>
      </c>
      <c r="S23" s="416">
        <f t="shared" si="10"/>
        <v>0</v>
      </c>
      <c r="T23" s="766" t="str">
        <f t="shared" si="0"/>
        <v>-</v>
      </c>
      <c r="U23" s="782"/>
      <c r="V23" s="889">
        <f t="shared" si="13"/>
        <v>0</v>
      </c>
      <c r="W23" s="891">
        <f t="shared" si="14"/>
        <v>0</v>
      </c>
      <c r="X23" s="416">
        <f t="shared" si="11"/>
        <v>0</v>
      </c>
      <c r="Y23" s="901" t="str">
        <f t="shared" si="4"/>
        <v>-</v>
      </c>
      <c r="Z23" s="169"/>
      <c r="AA23" s="414">
        <v>0</v>
      </c>
      <c r="AB23" s="416">
        <f>AA23-W23</f>
        <v>0</v>
      </c>
      <c r="AC23" s="731" t="str">
        <f t="shared" si="6"/>
        <v>-</v>
      </c>
      <c r="AD23" s="166"/>
      <c r="AE23" s="1178"/>
    </row>
    <row r="24" spans="1:33" x14ac:dyDescent="0.3">
      <c r="A24" s="1096" t="s">
        <v>131</v>
      </c>
      <c r="B24" s="1535">
        <v>0</v>
      </c>
      <c r="C24" s="1013">
        <v>0</v>
      </c>
      <c r="D24" s="416">
        <f t="shared" si="7"/>
        <v>0</v>
      </c>
      <c r="E24" s="901" t="str">
        <f t="shared" si="2"/>
        <v>-</v>
      </c>
      <c r="F24" s="166"/>
      <c r="G24" s="1535">
        <v>0</v>
      </c>
      <c r="H24" s="1013">
        <v>0</v>
      </c>
      <c r="I24" s="416">
        <f t="shared" si="8"/>
        <v>0</v>
      </c>
      <c r="J24" s="927" t="str">
        <f t="shared" si="12"/>
        <v>-</v>
      </c>
      <c r="K24" s="166"/>
      <c r="L24" s="604">
        <v>0</v>
      </c>
      <c r="M24" s="604">
        <v>0</v>
      </c>
      <c r="N24" s="416">
        <f t="shared" si="9"/>
        <v>0</v>
      </c>
      <c r="O24" s="929" t="str">
        <f t="shared" si="3"/>
        <v>-</v>
      </c>
      <c r="P24" s="166"/>
      <c r="Q24" s="1008">
        <v>0</v>
      </c>
      <c r="R24" s="1008">
        <v>0</v>
      </c>
      <c r="S24" s="416">
        <f t="shared" si="10"/>
        <v>0</v>
      </c>
      <c r="T24" s="767" t="str">
        <f t="shared" si="0"/>
        <v>-</v>
      </c>
      <c r="U24" s="924"/>
      <c r="V24" s="889">
        <f t="shared" si="13"/>
        <v>0</v>
      </c>
      <c r="W24" s="891">
        <f t="shared" si="14"/>
        <v>0</v>
      </c>
      <c r="X24" s="416">
        <f t="shared" si="11"/>
        <v>0</v>
      </c>
      <c r="Y24" s="1575" t="str">
        <f t="shared" si="4"/>
        <v>-</v>
      </c>
      <c r="Z24" s="169"/>
      <c r="AA24" s="414">
        <v>0</v>
      </c>
      <c r="AB24" s="416">
        <f t="shared" si="5"/>
        <v>0</v>
      </c>
      <c r="AC24" s="731" t="str">
        <f t="shared" si="6"/>
        <v>-</v>
      </c>
      <c r="AD24" s="178"/>
      <c r="AE24" s="1181"/>
    </row>
    <row r="25" spans="1:33" x14ac:dyDescent="0.3">
      <c r="A25" s="1265" t="s">
        <v>73</v>
      </c>
      <c r="B25" s="1006">
        <f>SUM(B14:B24)</f>
        <v>258203</v>
      </c>
      <c r="C25" s="1558">
        <f>SUM(C14:C24)</f>
        <v>258203.01</v>
      </c>
      <c r="D25" s="1000">
        <f>SUM(D14:D24)</f>
        <v>1.0000000009313226E-2</v>
      </c>
      <c r="E25" s="1537">
        <f t="shared" ref="E25" si="15">IF(ISERROR(D25/B25),"-",D25/B25)</f>
        <v>3.8729216970032208E-8</v>
      </c>
      <c r="F25" s="178"/>
      <c r="G25" s="432">
        <f>SUM(G14:G24)</f>
        <v>258203</v>
      </c>
      <c r="H25" s="420">
        <f>SUM(H14:H24)</f>
        <v>258203.01</v>
      </c>
      <c r="I25" s="420">
        <f>SUM(I14:I24)</f>
        <v>1.0000000009313226E-2</v>
      </c>
      <c r="J25" s="177">
        <f t="shared" si="12"/>
        <v>3.8729216970032208E-8</v>
      </c>
      <c r="K25" s="178"/>
      <c r="L25" s="1010">
        <f>SUM(L14:L24)</f>
        <v>258203</v>
      </c>
      <c r="M25" s="923">
        <f>SUM(M14:M24)</f>
        <v>272953.02</v>
      </c>
      <c r="N25" s="420">
        <f>SUM(N14:N24)</f>
        <v>14750.020000000019</v>
      </c>
      <c r="O25" s="179">
        <f>IF(ISERROR(N25/L25),"-",N25/L25)</f>
        <v>5.712567243602909E-2</v>
      </c>
      <c r="P25" s="178"/>
      <c r="Q25" s="419">
        <f>SUM(Q14:Q24)</f>
        <v>258203</v>
      </c>
      <c r="R25" s="420">
        <f>SUM(R14:R24)</f>
        <v>275231.02</v>
      </c>
      <c r="S25" s="420">
        <f>SUM(S14:S24)</f>
        <v>17028.020000000022</v>
      </c>
      <c r="T25" s="1210">
        <f t="shared" si="0"/>
        <v>6.5948188053585835E-2</v>
      </c>
      <c r="U25" s="784"/>
      <c r="V25" s="1582">
        <f>SUM(V14:V24)</f>
        <v>1032812</v>
      </c>
      <c r="W25" s="1573">
        <f>SUM(W14:W24)</f>
        <v>1064590.06</v>
      </c>
      <c r="X25" s="1000">
        <f>SUM(X14:X24)</f>
        <v>31778.06</v>
      </c>
      <c r="Y25" s="1576">
        <f t="shared" si="4"/>
        <v>3.0768484487012158E-2</v>
      </c>
      <c r="Z25" s="163"/>
      <c r="AA25" s="419">
        <f>SUM(AA14:AA24)</f>
        <v>1032812</v>
      </c>
      <c r="AB25" s="421">
        <f>SUM(AB14:AB24)</f>
        <v>-31778.06</v>
      </c>
      <c r="AC25" s="183">
        <f t="shared" ref="AC25" si="16">IF(ISERROR(AB25/AA25),"-",AB25/AA25)</f>
        <v>-3.0768484487012158E-2</v>
      </c>
      <c r="AD25" s="166"/>
      <c r="AE25" s="1178"/>
    </row>
    <row r="26" spans="1:33" x14ac:dyDescent="0.3">
      <c r="A26" s="1314"/>
      <c r="B26" s="1564"/>
      <c r="C26" s="1559"/>
      <c r="D26" s="1389"/>
      <c r="E26" s="1433"/>
      <c r="F26" s="166"/>
      <c r="G26" s="424"/>
      <c r="H26" s="425"/>
      <c r="I26" s="425"/>
      <c r="J26" s="190"/>
      <c r="K26" s="166"/>
      <c r="L26" s="422"/>
      <c r="M26" s="423"/>
      <c r="N26" s="423"/>
      <c r="O26" s="191"/>
      <c r="P26" s="166"/>
      <c r="Q26" s="804"/>
      <c r="R26" s="805"/>
      <c r="S26" s="425"/>
      <c r="T26" s="1211" t="str">
        <f t="shared" si="0"/>
        <v>-</v>
      </c>
      <c r="U26" s="782"/>
      <c r="V26" s="1323"/>
      <c r="W26" s="905"/>
      <c r="X26" s="1389"/>
      <c r="Y26" s="1577"/>
      <c r="Z26" s="169"/>
      <c r="AA26" s="816"/>
      <c r="AB26" s="423"/>
      <c r="AC26" s="191"/>
      <c r="AD26" s="166"/>
      <c r="AE26" s="1178"/>
    </row>
    <row r="27" spans="1:33" x14ac:dyDescent="0.3">
      <c r="A27" s="1256" t="s">
        <v>74</v>
      </c>
      <c r="B27" s="417">
        <v>0</v>
      </c>
      <c r="C27" s="604">
        <v>0</v>
      </c>
      <c r="D27" s="416">
        <f>C27-B27</f>
        <v>0</v>
      </c>
      <c r="E27" s="1003" t="str">
        <f>IF(ISERROR(D27/B27),"-",D27/B27)</f>
        <v>-</v>
      </c>
      <c r="F27" s="166"/>
      <c r="G27" s="426">
        <v>0</v>
      </c>
      <c r="H27" s="427">
        <v>0</v>
      </c>
      <c r="I27" s="415">
        <f>H27-G27</f>
        <v>0</v>
      </c>
      <c r="J27" s="195" t="str">
        <f>IF(ISERROR(I27/G27),"-",I27/G27)</f>
        <v>-</v>
      </c>
      <c r="K27" s="166"/>
      <c r="L27" s="414">
        <v>0</v>
      </c>
      <c r="M27" s="415">
        <v>0</v>
      </c>
      <c r="N27" s="415">
        <f>M27-L27</f>
        <v>0</v>
      </c>
      <c r="O27" s="196" t="str">
        <f>IF(ISERROR(N27/L27),"-",N27/L27)</f>
        <v>-</v>
      </c>
      <c r="P27" s="166"/>
      <c r="Q27" s="806">
        <v>0</v>
      </c>
      <c r="R27" s="807">
        <v>0</v>
      </c>
      <c r="S27" s="415">
        <f>R27-Q27</f>
        <v>0</v>
      </c>
      <c r="T27" s="1212" t="str">
        <f t="shared" si="0"/>
        <v>-</v>
      </c>
      <c r="U27" s="782"/>
      <c r="V27" s="889">
        <f>B27+G27+L27+Q27</f>
        <v>0</v>
      </c>
      <c r="W27" s="891">
        <f>C27+H27+M27+R27</f>
        <v>0</v>
      </c>
      <c r="X27" s="416">
        <f>W27-V27</f>
        <v>0</v>
      </c>
      <c r="Y27" s="902"/>
      <c r="Z27" s="169"/>
      <c r="AA27" s="803">
        <f>SUM(B27+G27+L27+Q27)</f>
        <v>0</v>
      </c>
      <c r="AB27" s="416">
        <f>AA27-W27</f>
        <v>0</v>
      </c>
      <c r="AC27" s="731" t="str">
        <f>IF(ISERROR(AB27/AA27),"-",AB27/AA27)</f>
        <v>-</v>
      </c>
      <c r="AD27" s="160"/>
      <c r="AE27" s="1178"/>
    </row>
    <row r="28" spans="1:33" x14ac:dyDescent="0.3">
      <c r="A28" s="1264"/>
      <c r="B28" s="1565"/>
      <c r="C28" s="1560"/>
      <c r="D28" s="1388"/>
      <c r="E28" s="1538"/>
      <c r="F28" s="160"/>
      <c r="G28" s="430"/>
      <c r="H28" s="431"/>
      <c r="I28" s="431"/>
      <c r="J28" s="206"/>
      <c r="K28" s="160"/>
      <c r="L28" s="428"/>
      <c r="M28" s="429"/>
      <c r="N28" s="429"/>
      <c r="O28" s="207"/>
      <c r="P28" s="160"/>
      <c r="Q28" s="808"/>
      <c r="R28" s="809"/>
      <c r="S28" s="431"/>
      <c r="T28" s="1213" t="str">
        <f t="shared" si="0"/>
        <v>-</v>
      </c>
      <c r="U28" s="781"/>
      <c r="V28" s="1385"/>
      <c r="W28" s="1574"/>
      <c r="X28" s="1388"/>
      <c r="Y28" s="1578"/>
      <c r="Z28" s="163"/>
      <c r="AA28" s="814"/>
      <c r="AB28" s="429"/>
      <c r="AC28" s="207"/>
      <c r="AD28" s="178"/>
      <c r="AE28" s="1181"/>
    </row>
    <row r="29" spans="1:33" x14ac:dyDescent="0.3">
      <c r="A29" s="1265" t="s">
        <v>75</v>
      </c>
      <c r="B29" s="1006">
        <f>B25+B27</f>
        <v>258203</v>
      </c>
      <c r="C29" s="1472">
        <f>C25+C27</f>
        <v>258203.01</v>
      </c>
      <c r="D29" s="1232">
        <f>D25+D27</f>
        <v>1.0000000009313226E-2</v>
      </c>
      <c r="E29" s="1303">
        <f>IF(ISERROR(D29/B29),"-",D29/B29)</f>
        <v>3.8729216970032208E-8</v>
      </c>
      <c r="F29" s="178"/>
      <c r="G29" s="432">
        <f>G25+G27</f>
        <v>258203</v>
      </c>
      <c r="H29" s="433">
        <f>H25+H27</f>
        <v>258203.01</v>
      </c>
      <c r="I29" s="433">
        <f>I25+I27</f>
        <v>1.0000000009313226E-2</v>
      </c>
      <c r="J29" s="211">
        <f>IF(ISERROR(I29/G29),"-",I29/G29)</f>
        <v>3.8729216970032208E-8</v>
      </c>
      <c r="K29" s="178"/>
      <c r="L29" s="432">
        <f>L25+L27</f>
        <v>258203</v>
      </c>
      <c r="M29" s="433">
        <f>M25+M27</f>
        <v>272953.02</v>
      </c>
      <c r="N29" s="433">
        <f>N25+N27</f>
        <v>14750.020000000019</v>
      </c>
      <c r="O29" s="212">
        <f>IF(ISERROR(N29/L29),"-",N29/L29)</f>
        <v>5.712567243602909E-2</v>
      </c>
      <c r="P29" s="178"/>
      <c r="Q29" s="432">
        <f>Q25+Q27</f>
        <v>258203</v>
      </c>
      <c r="R29" s="433">
        <f>R25+R27</f>
        <v>275231.02</v>
      </c>
      <c r="S29" s="433">
        <f>S25+S27</f>
        <v>17028.020000000022</v>
      </c>
      <c r="T29" s="1214">
        <f t="shared" si="0"/>
        <v>6.5948188053585835E-2</v>
      </c>
      <c r="U29" s="784"/>
      <c r="V29" s="1046">
        <f>V25+V27</f>
        <v>1032812</v>
      </c>
      <c r="W29" s="1058">
        <f>W25+W27</f>
        <v>1064590.06</v>
      </c>
      <c r="X29" s="1232">
        <f>X25+X27</f>
        <v>31778.06</v>
      </c>
      <c r="Y29" s="1395">
        <f>IF(ISERROR(X29/V29),"-",X29/V29)</f>
        <v>3.0768484487012158E-2</v>
      </c>
      <c r="Z29" s="163"/>
      <c r="AA29" s="432">
        <f>AA25+AA27</f>
        <v>1032812</v>
      </c>
      <c r="AB29" s="435">
        <f>AA29-W29</f>
        <v>-31778.060000000056</v>
      </c>
      <c r="AC29" s="215">
        <f>IF(ISERROR(AB29/AA29),"-",AB29/AA29)</f>
        <v>-3.0768484487012211E-2</v>
      </c>
      <c r="AD29" s="160"/>
      <c r="AE29" s="1178"/>
    </row>
    <row r="30" spans="1:33" x14ac:dyDescent="0.3">
      <c r="A30" s="1266"/>
      <c r="B30" s="1566"/>
      <c r="C30" s="1561"/>
      <c r="D30" s="575"/>
      <c r="E30" s="1539"/>
      <c r="F30" s="160"/>
      <c r="G30" s="438"/>
      <c r="H30" s="439"/>
      <c r="I30" s="439"/>
      <c r="J30" s="222"/>
      <c r="K30" s="160"/>
      <c r="L30" s="436"/>
      <c r="M30" s="437"/>
      <c r="N30" s="437"/>
      <c r="O30" s="223"/>
      <c r="P30" s="160"/>
      <c r="Q30" s="810"/>
      <c r="R30" s="811"/>
      <c r="S30" s="439"/>
      <c r="T30" s="1215"/>
      <c r="U30" s="781"/>
      <c r="V30" s="1323"/>
      <c r="W30" s="905"/>
      <c r="X30" s="575"/>
      <c r="Y30" s="1325"/>
      <c r="Z30" s="163"/>
      <c r="AA30" s="815"/>
      <c r="AB30" s="437"/>
      <c r="AC30" s="223"/>
      <c r="AD30" s="166"/>
      <c r="AE30" s="1178"/>
    </row>
    <row r="31" spans="1:33" x14ac:dyDescent="0.3">
      <c r="A31" s="1256" t="s">
        <v>76</v>
      </c>
      <c r="B31" s="417"/>
      <c r="C31" s="604"/>
      <c r="D31" s="416"/>
      <c r="E31" s="1015"/>
      <c r="F31" s="166"/>
      <c r="G31" s="426"/>
      <c r="H31" s="427"/>
      <c r="I31" s="427"/>
      <c r="J31" s="228"/>
      <c r="K31" s="166"/>
      <c r="L31" s="414"/>
      <c r="M31" s="415"/>
      <c r="N31" s="415"/>
      <c r="O31" s="199"/>
      <c r="P31" s="166"/>
      <c r="Q31" s="806"/>
      <c r="R31" s="807"/>
      <c r="S31" s="427"/>
      <c r="T31" s="1216"/>
      <c r="U31" s="782"/>
      <c r="V31" s="889"/>
      <c r="W31" s="891"/>
      <c r="X31" s="416"/>
      <c r="Y31" s="902"/>
      <c r="Z31" s="169"/>
      <c r="AA31" s="803"/>
      <c r="AB31" s="415"/>
      <c r="AC31" s="199"/>
      <c r="AD31" s="166"/>
      <c r="AE31" s="1178"/>
    </row>
    <row r="32" spans="1:33" x14ac:dyDescent="0.3">
      <c r="A32" s="1256" t="s">
        <v>77</v>
      </c>
      <c r="B32" s="417"/>
      <c r="C32" s="604"/>
      <c r="D32" s="416"/>
      <c r="E32" s="1015"/>
      <c r="F32" s="166"/>
      <c r="G32" s="426"/>
      <c r="H32" s="427"/>
      <c r="I32" s="427"/>
      <c r="J32" s="228"/>
      <c r="K32" s="166"/>
      <c r="L32" s="414"/>
      <c r="M32" s="415"/>
      <c r="N32" s="415"/>
      <c r="O32" s="199"/>
      <c r="P32" s="166"/>
      <c r="Q32" s="1009"/>
      <c r="R32" s="1007"/>
      <c r="S32" s="427"/>
      <c r="T32" s="1216"/>
      <c r="U32" s="782"/>
      <c r="V32" s="889"/>
      <c r="W32" s="891"/>
      <c r="X32" s="416"/>
      <c r="Y32" s="902"/>
      <c r="Z32" s="169"/>
      <c r="AA32" s="803"/>
      <c r="AB32" s="415"/>
      <c r="AC32" s="199"/>
      <c r="AD32" s="171"/>
      <c r="AE32" s="1179"/>
    </row>
    <row r="33" spans="1:31" x14ac:dyDescent="0.3">
      <c r="A33" s="1096" t="s">
        <v>78</v>
      </c>
      <c r="B33" s="417">
        <v>96549</v>
      </c>
      <c r="C33" s="604">
        <v>100704.34</v>
      </c>
      <c r="D33" s="416">
        <f t="shared" ref="D33:D40" si="17">C33-B33</f>
        <v>4155.3399999999965</v>
      </c>
      <c r="E33" s="1003">
        <f>IF(ISERROR(D33/B33),"-",D33/B33)</f>
        <v>4.3038664305171434E-2</v>
      </c>
      <c r="F33" s="171"/>
      <c r="G33" s="426">
        <v>96549</v>
      </c>
      <c r="H33" s="427">
        <v>98871</v>
      </c>
      <c r="I33" s="416">
        <f t="shared" ref="I33:I40" si="18">H33-G33</f>
        <v>2322</v>
      </c>
      <c r="J33" s="195">
        <f t="shared" ref="J33:J41" si="19">IF(ISERROR(I33/G33),"-",I33/G33)</f>
        <v>2.4049964266848956E-2</v>
      </c>
      <c r="K33" s="171"/>
      <c r="L33" s="417">
        <v>96549</v>
      </c>
      <c r="M33" s="567">
        <v>98097</v>
      </c>
      <c r="N33" s="416">
        <f>M33-L33</f>
        <v>1548</v>
      </c>
      <c r="O33" s="196">
        <f t="shared" ref="O33:O40" si="20">IF(ISERROR(N33/L33),"-",N33/L33)</f>
        <v>1.6033309511232639E-2</v>
      </c>
      <c r="P33" s="171"/>
      <c r="Q33" s="1681">
        <f>L33</f>
        <v>96549</v>
      </c>
      <c r="R33" s="1679">
        <v>98871</v>
      </c>
      <c r="S33" s="416">
        <f t="shared" ref="S33:S40" si="21">R33-Q33</f>
        <v>2322</v>
      </c>
      <c r="T33" s="1212">
        <f t="shared" ref="T33:T41" si="22">IF(ISERROR(S33/Q33),"-",S33/Q33)</f>
        <v>2.4049964266848956E-2</v>
      </c>
      <c r="U33" s="783"/>
      <c r="V33" s="889">
        <f>SUM(B33+G33+L33+Q33)</f>
        <v>386196</v>
      </c>
      <c r="W33" s="891">
        <f>SUM(C33+H33+M33+R33)</f>
        <v>396543.33999999997</v>
      </c>
      <c r="X33" s="416">
        <f t="shared" ref="X33:X40" si="23">W33-V33</f>
        <v>10347.339999999967</v>
      </c>
      <c r="Y33" s="901">
        <f t="shared" ref="Y33:Y41" si="24">IF(ISERROR(X33/V33),"-",X33/V33)</f>
        <v>2.6792975587525421E-2</v>
      </c>
      <c r="Z33" s="169"/>
      <c r="AA33" s="414">
        <v>386196</v>
      </c>
      <c r="AB33" s="415">
        <f>AA33-W33</f>
        <v>-10347.339999999967</v>
      </c>
      <c r="AC33" s="196">
        <f>IF(ISERROR(AB33/AA33),"-",AB33/AA33)</f>
        <v>-2.6792975587525421E-2</v>
      </c>
      <c r="AD33" s="171"/>
      <c r="AE33" s="1179"/>
    </row>
    <row r="34" spans="1:31" x14ac:dyDescent="0.3">
      <c r="A34" s="1096" t="s">
        <v>79</v>
      </c>
      <c r="B34" s="417">
        <v>3322</v>
      </c>
      <c r="C34" s="604">
        <v>0</v>
      </c>
      <c r="D34" s="416">
        <f t="shared" si="17"/>
        <v>-3322</v>
      </c>
      <c r="E34" s="1003">
        <f>IF(ISERROR(D34/B34),"-",D34/B34)</f>
        <v>-1</v>
      </c>
      <c r="F34" s="171"/>
      <c r="G34" s="426">
        <v>3322</v>
      </c>
      <c r="H34" s="567">
        <v>0</v>
      </c>
      <c r="I34" s="416">
        <f t="shared" si="18"/>
        <v>-3322</v>
      </c>
      <c r="J34" s="195">
        <f t="shared" si="19"/>
        <v>-1</v>
      </c>
      <c r="K34" s="171"/>
      <c r="L34" s="417">
        <v>3322</v>
      </c>
      <c r="M34" s="567"/>
      <c r="N34" s="416">
        <f t="shared" ref="N34:N40" si="25">M34-L34</f>
        <v>-3322</v>
      </c>
      <c r="O34" s="196">
        <f t="shared" si="20"/>
        <v>-1</v>
      </c>
      <c r="P34" s="171"/>
      <c r="Q34" s="1681">
        <f t="shared" ref="Q34:Q40" si="26">L34</f>
        <v>3322</v>
      </c>
      <c r="R34" s="1679">
        <v>0</v>
      </c>
      <c r="S34" s="416">
        <f t="shared" si="21"/>
        <v>-3322</v>
      </c>
      <c r="T34" s="1212">
        <f t="shared" si="22"/>
        <v>-1</v>
      </c>
      <c r="U34" s="783"/>
      <c r="V34" s="889">
        <f t="shared" ref="V34:V40" si="27">SUM(B34+G34+L34+Q34)</f>
        <v>13288</v>
      </c>
      <c r="W34" s="891">
        <f t="shared" ref="W34:W39" si="28">C34+H34+M34+R34</f>
        <v>0</v>
      </c>
      <c r="X34" s="416">
        <f t="shared" si="23"/>
        <v>-13288</v>
      </c>
      <c r="Y34" s="901">
        <f t="shared" si="24"/>
        <v>-1</v>
      </c>
      <c r="Z34" s="169"/>
      <c r="AA34" s="414">
        <v>13288</v>
      </c>
      <c r="AB34" s="415">
        <f>AA34-W34</f>
        <v>13288</v>
      </c>
      <c r="AC34" s="196">
        <f t="shared" ref="AC34:AC41" si="29">IF(ISERROR(AB34/AA34),"-",AB34/AA34)</f>
        <v>1</v>
      </c>
      <c r="AD34" s="171"/>
      <c r="AE34" s="1179"/>
    </row>
    <row r="35" spans="1:31" x14ac:dyDescent="0.3">
      <c r="A35" s="1096" t="s">
        <v>81</v>
      </c>
      <c r="B35" s="417">
        <v>17604</v>
      </c>
      <c r="C35" s="604">
        <v>4171.7700000000004</v>
      </c>
      <c r="D35" s="416">
        <f t="shared" si="17"/>
        <v>-13432.23</v>
      </c>
      <c r="E35" s="1003">
        <f>IF(ISERROR(D35/B35),"-",D35/B35)</f>
        <v>-0.76302147239263807</v>
      </c>
      <c r="F35" s="171"/>
      <c r="G35" s="426">
        <v>17604</v>
      </c>
      <c r="H35" s="427">
        <v>5792.94</v>
      </c>
      <c r="I35" s="416">
        <f t="shared" si="18"/>
        <v>-11811.060000000001</v>
      </c>
      <c r="J35" s="195">
        <f t="shared" si="19"/>
        <v>-0.6709304703476483</v>
      </c>
      <c r="K35" s="171"/>
      <c r="L35" s="417">
        <v>17604</v>
      </c>
      <c r="M35" s="567">
        <v>5792.94</v>
      </c>
      <c r="N35" s="416">
        <f t="shared" si="25"/>
        <v>-11811.060000000001</v>
      </c>
      <c r="O35" s="196">
        <f t="shared" si="20"/>
        <v>-0.6709304703476483</v>
      </c>
      <c r="P35" s="171"/>
      <c r="Q35" s="1681">
        <f t="shared" si="26"/>
        <v>17604</v>
      </c>
      <c r="R35" s="1679">
        <v>5792.94</v>
      </c>
      <c r="S35" s="416">
        <f t="shared" si="21"/>
        <v>-11811.060000000001</v>
      </c>
      <c r="T35" s="1212">
        <f t="shared" si="22"/>
        <v>-0.6709304703476483</v>
      </c>
      <c r="U35" s="783"/>
      <c r="V35" s="889">
        <f t="shared" si="27"/>
        <v>70416</v>
      </c>
      <c r="W35" s="891">
        <f t="shared" si="28"/>
        <v>21550.589999999997</v>
      </c>
      <c r="X35" s="416">
        <f t="shared" si="23"/>
        <v>-48865.41</v>
      </c>
      <c r="Y35" s="901">
        <f t="shared" si="24"/>
        <v>-0.69395322085889577</v>
      </c>
      <c r="Z35" s="169"/>
      <c r="AA35" s="414">
        <v>70414.559999999998</v>
      </c>
      <c r="AB35" s="415">
        <f t="shared" ref="AB35:AB40" si="30">AA35-W35</f>
        <v>48863.97</v>
      </c>
      <c r="AC35" s="196">
        <f t="shared" si="29"/>
        <v>0.69394696210556461</v>
      </c>
      <c r="AD35" s="230"/>
      <c r="AE35" s="1178"/>
    </row>
    <row r="36" spans="1:31" x14ac:dyDescent="0.3">
      <c r="A36" s="1096" t="s">
        <v>106</v>
      </c>
      <c r="B36" s="417">
        <v>3593</v>
      </c>
      <c r="C36" s="604">
        <v>3612.11</v>
      </c>
      <c r="D36" s="416">
        <f t="shared" si="17"/>
        <v>19.110000000000127</v>
      </c>
      <c r="E36" s="1003">
        <f t="shared" ref="E36:E41" si="31">IF(ISERROR(D36/B36),"-",D36/B36)</f>
        <v>5.3186752017812767E-3</v>
      </c>
      <c r="F36" s="230"/>
      <c r="G36" s="426">
        <v>3593</v>
      </c>
      <c r="H36" s="427">
        <v>3592.71</v>
      </c>
      <c r="I36" s="416">
        <f t="shared" si="18"/>
        <v>-0.28999999999996362</v>
      </c>
      <c r="J36" s="195">
        <f t="shared" si="19"/>
        <v>-8.0712496521002952E-5</v>
      </c>
      <c r="K36" s="230"/>
      <c r="L36" s="417">
        <v>3593</v>
      </c>
      <c r="M36" s="567">
        <v>3550.14</v>
      </c>
      <c r="N36" s="416">
        <f t="shared" si="25"/>
        <v>-42.860000000000127</v>
      </c>
      <c r="O36" s="196">
        <f t="shared" si="20"/>
        <v>-1.1928750347898727E-2</v>
      </c>
      <c r="P36" s="230"/>
      <c r="Q36" s="1681">
        <f t="shared" si="26"/>
        <v>3593</v>
      </c>
      <c r="R36" s="1679">
        <v>3592.71</v>
      </c>
      <c r="S36" s="416">
        <f t="shared" si="21"/>
        <v>-0.28999999999996362</v>
      </c>
      <c r="T36" s="1212">
        <f t="shared" si="22"/>
        <v>-8.0712496521002952E-5</v>
      </c>
      <c r="U36" s="785"/>
      <c r="V36" s="889">
        <f t="shared" si="27"/>
        <v>14372</v>
      </c>
      <c r="W36" s="891">
        <f t="shared" si="28"/>
        <v>14347.669999999998</v>
      </c>
      <c r="X36" s="416">
        <f t="shared" si="23"/>
        <v>-24.330000000001746</v>
      </c>
      <c r="Y36" s="901">
        <f t="shared" si="24"/>
        <v>-1.6928750347899907E-3</v>
      </c>
      <c r="Z36" s="231"/>
      <c r="AA36" s="414">
        <v>14371</v>
      </c>
      <c r="AB36" s="415">
        <f t="shared" si="30"/>
        <v>23.330000000001746</v>
      </c>
      <c r="AC36" s="196">
        <f t="shared" si="29"/>
        <v>1.6234082527313164E-3</v>
      </c>
      <c r="AD36" s="230"/>
      <c r="AE36" s="1178"/>
    </row>
    <row r="37" spans="1:31" x14ac:dyDescent="0.3">
      <c r="A37" s="1096" t="s">
        <v>80</v>
      </c>
      <c r="B37" s="417">
        <v>7200</v>
      </c>
      <c r="C37" s="604">
        <v>7200</v>
      </c>
      <c r="D37" s="416">
        <f t="shared" si="17"/>
        <v>0</v>
      </c>
      <c r="E37" s="1003">
        <f t="shared" si="31"/>
        <v>0</v>
      </c>
      <c r="F37" s="230"/>
      <c r="G37" s="426">
        <v>7200</v>
      </c>
      <c r="H37" s="427">
        <v>5400</v>
      </c>
      <c r="I37" s="416">
        <f t="shared" si="18"/>
        <v>-1800</v>
      </c>
      <c r="J37" s="195">
        <f t="shared" si="19"/>
        <v>-0.25</v>
      </c>
      <c r="K37" s="230"/>
      <c r="L37" s="417">
        <v>7200</v>
      </c>
      <c r="M37" s="567"/>
      <c r="N37" s="416">
        <f t="shared" si="25"/>
        <v>-7200</v>
      </c>
      <c r="O37" s="196">
        <f t="shared" si="20"/>
        <v>-1</v>
      </c>
      <c r="P37" s="230"/>
      <c r="Q37" s="1681">
        <f t="shared" si="26"/>
        <v>7200</v>
      </c>
      <c r="R37" s="1679">
        <f>5400+1800</f>
        <v>7200</v>
      </c>
      <c r="S37" s="416">
        <f t="shared" si="21"/>
        <v>0</v>
      </c>
      <c r="T37" s="1212">
        <f t="shared" si="22"/>
        <v>0</v>
      </c>
      <c r="U37" s="785"/>
      <c r="V37" s="889">
        <f t="shared" si="27"/>
        <v>28800</v>
      </c>
      <c r="W37" s="891">
        <f t="shared" si="28"/>
        <v>19800</v>
      </c>
      <c r="X37" s="416">
        <f t="shared" si="23"/>
        <v>-9000</v>
      </c>
      <c r="Y37" s="901">
        <f t="shared" si="24"/>
        <v>-0.3125</v>
      </c>
      <c r="Z37" s="231"/>
      <c r="AA37" s="414">
        <v>28800</v>
      </c>
      <c r="AB37" s="415">
        <f t="shared" si="30"/>
        <v>9000</v>
      </c>
      <c r="AC37" s="196">
        <f t="shared" si="29"/>
        <v>0.3125</v>
      </c>
      <c r="AD37" s="171"/>
      <c r="AE37" s="1179"/>
    </row>
    <row r="38" spans="1:31" x14ac:dyDescent="0.3">
      <c r="A38" s="1096" t="s">
        <v>130</v>
      </c>
      <c r="B38" s="417">
        <v>4361</v>
      </c>
      <c r="C38" s="604">
        <v>5957.4</v>
      </c>
      <c r="D38" s="416">
        <f t="shared" si="17"/>
        <v>1596.3999999999996</v>
      </c>
      <c r="E38" s="1003">
        <f t="shared" si="31"/>
        <v>0.36606282962623243</v>
      </c>
      <c r="F38" s="171"/>
      <c r="G38" s="426">
        <v>4361</v>
      </c>
      <c r="H38" s="427">
        <v>4360.5</v>
      </c>
      <c r="I38" s="416">
        <f t="shared" si="18"/>
        <v>-0.5</v>
      </c>
      <c r="J38" s="195">
        <f t="shared" si="19"/>
        <v>-1.1465260261407934E-4</v>
      </c>
      <c r="K38" s="171"/>
      <c r="L38" s="417">
        <v>4361</v>
      </c>
      <c r="M38" s="567">
        <v>4360.5</v>
      </c>
      <c r="N38" s="416">
        <f t="shared" si="25"/>
        <v>-0.5</v>
      </c>
      <c r="O38" s="196">
        <f t="shared" si="20"/>
        <v>-1.1465260261407934E-4</v>
      </c>
      <c r="P38" s="171"/>
      <c r="Q38" s="1681">
        <f t="shared" si="26"/>
        <v>4361</v>
      </c>
      <c r="R38" s="1679">
        <v>4360.5</v>
      </c>
      <c r="S38" s="416">
        <f t="shared" si="21"/>
        <v>-0.5</v>
      </c>
      <c r="T38" s="1212">
        <f t="shared" si="22"/>
        <v>-1.1465260261407934E-4</v>
      </c>
      <c r="U38" s="783"/>
      <c r="V38" s="889">
        <f t="shared" si="27"/>
        <v>17444</v>
      </c>
      <c r="W38" s="891">
        <f t="shared" si="28"/>
        <v>19038.900000000001</v>
      </c>
      <c r="X38" s="416">
        <f t="shared" si="23"/>
        <v>1594.9000000000015</v>
      </c>
      <c r="Y38" s="901">
        <f t="shared" si="24"/>
        <v>9.1429717954597658E-2</v>
      </c>
      <c r="Z38" s="169"/>
      <c r="AA38" s="414">
        <v>17442</v>
      </c>
      <c r="AB38" s="415">
        <f t="shared" si="30"/>
        <v>-1596.9000000000015</v>
      </c>
      <c r="AC38" s="196">
        <f t="shared" si="29"/>
        <v>-9.15548675610596E-2</v>
      </c>
      <c r="AD38" s="171"/>
      <c r="AE38" s="1179"/>
    </row>
    <row r="39" spans="1:31" x14ac:dyDescent="0.3">
      <c r="A39" s="1096" t="s">
        <v>129</v>
      </c>
      <c r="B39" s="417">
        <v>0</v>
      </c>
      <c r="C39" s="604">
        <v>0</v>
      </c>
      <c r="D39" s="416">
        <f t="shared" si="17"/>
        <v>0</v>
      </c>
      <c r="E39" s="1003" t="str">
        <f t="shared" si="31"/>
        <v>-</v>
      </c>
      <c r="F39" s="171"/>
      <c r="G39" s="426">
        <v>0</v>
      </c>
      <c r="H39" s="426">
        <v>0</v>
      </c>
      <c r="I39" s="416">
        <f t="shared" si="18"/>
        <v>0</v>
      </c>
      <c r="J39" s="195" t="str">
        <f t="shared" si="19"/>
        <v>-</v>
      </c>
      <c r="K39" s="171"/>
      <c r="L39" s="417"/>
      <c r="M39" s="567"/>
      <c r="N39" s="416">
        <f t="shared" si="25"/>
        <v>0</v>
      </c>
      <c r="O39" s="196" t="str">
        <f t="shared" si="20"/>
        <v>-</v>
      </c>
      <c r="P39" s="171"/>
      <c r="Q39" s="1681">
        <f t="shared" si="26"/>
        <v>0</v>
      </c>
      <c r="R39" s="1679">
        <v>0</v>
      </c>
      <c r="S39" s="416">
        <f t="shared" si="21"/>
        <v>0</v>
      </c>
      <c r="T39" s="1212" t="str">
        <f t="shared" si="22"/>
        <v>-</v>
      </c>
      <c r="U39" s="783"/>
      <c r="V39" s="889">
        <f t="shared" si="27"/>
        <v>0</v>
      </c>
      <c r="W39" s="891">
        <f t="shared" si="28"/>
        <v>0</v>
      </c>
      <c r="X39" s="416">
        <f t="shared" si="23"/>
        <v>0</v>
      </c>
      <c r="Y39" s="901" t="str">
        <f t="shared" si="24"/>
        <v>-</v>
      </c>
      <c r="Z39" s="169"/>
      <c r="AA39" s="414">
        <v>0</v>
      </c>
      <c r="AB39" s="415">
        <f t="shared" si="30"/>
        <v>0</v>
      </c>
      <c r="AC39" s="196" t="str">
        <f t="shared" si="29"/>
        <v>-</v>
      </c>
      <c r="AD39" s="166"/>
      <c r="AE39" s="1179"/>
    </row>
    <row r="40" spans="1:31" x14ac:dyDescent="0.3">
      <c r="A40" s="1268" t="s">
        <v>40</v>
      </c>
      <c r="B40" s="417">
        <v>0</v>
      </c>
      <c r="C40" s="604">
        <v>0</v>
      </c>
      <c r="D40" s="416">
        <f t="shared" si="17"/>
        <v>0</v>
      </c>
      <c r="E40" s="509" t="str">
        <f t="shared" si="31"/>
        <v>-</v>
      </c>
      <c r="F40" s="166"/>
      <c r="G40" s="426">
        <v>0</v>
      </c>
      <c r="H40" s="426">
        <v>6589</v>
      </c>
      <c r="I40" s="416">
        <f t="shared" si="18"/>
        <v>6589</v>
      </c>
      <c r="J40" s="234" t="str">
        <f t="shared" si="19"/>
        <v>-</v>
      </c>
      <c r="K40" s="166"/>
      <c r="L40" s="998">
        <v>0</v>
      </c>
      <c r="M40" s="567">
        <v>7200</v>
      </c>
      <c r="N40" s="416">
        <f t="shared" si="25"/>
        <v>7200</v>
      </c>
      <c r="O40" s="235" t="str">
        <f t="shared" si="20"/>
        <v>-</v>
      </c>
      <c r="P40" s="166"/>
      <c r="Q40" s="1681">
        <f t="shared" si="26"/>
        <v>0</v>
      </c>
      <c r="R40" s="1680">
        <f>10498.2+995.35</f>
        <v>11493.550000000001</v>
      </c>
      <c r="S40" s="416">
        <f t="shared" si="21"/>
        <v>11493.550000000001</v>
      </c>
      <c r="T40" s="1213" t="str">
        <f t="shared" si="22"/>
        <v>-</v>
      </c>
      <c r="U40" s="782"/>
      <c r="V40" s="889">
        <f t="shared" si="27"/>
        <v>0</v>
      </c>
      <c r="W40" s="891">
        <f>C40+H40+M40+R40</f>
        <v>25282.550000000003</v>
      </c>
      <c r="X40" s="416">
        <f t="shared" si="23"/>
        <v>25282.550000000003</v>
      </c>
      <c r="Y40" s="1579" t="str">
        <f t="shared" si="24"/>
        <v>-</v>
      </c>
      <c r="Z40" s="169"/>
      <c r="AA40" s="414">
        <v>0</v>
      </c>
      <c r="AB40" s="415">
        <f t="shared" si="30"/>
        <v>-25282.550000000003</v>
      </c>
      <c r="AC40" s="235" t="str">
        <f t="shared" si="29"/>
        <v>-</v>
      </c>
      <c r="AD40" s="171"/>
      <c r="AE40" s="1181"/>
    </row>
    <row r="41" spans="1:31" x14ac:dyDescent="0.3">
      <c r="A41" s="1265" t="s">
        <v>83</v>
      </c>
      <c r="B41" s="1006">
        <f>SUM(B33:B40)</f>
        <v>132629</v>
      </c>
      <c r="C41" s="1472">
        <f>SUM(C33:C40)</f>
        <v>121645.62</v>
      </c>
      <c r="D41" s="1232">
        <f>SUM(D33:D40)</f>
        <v>-10983.380000000003</v>
      </c>
      <c r="E41" s="1303">
        <f t="shared" si="31"/>
        <v>-8.2812808661755749E-2</v>
      </c>
      <c r="F41" s="171"/>
      <c r="G41" s="432">
        <f>SUM(G33:G40)</f>
        <v>132629</v>
      </c>
      <c r="H41" s="433">
        <f>SUM(H33:H40)</f>
        <v>124606.15000000001</v>
      </c>
      <c r="I41" s="433">
        <f>SUM(I33:I40)</f>
        <v>-8022.8500000000022</v>
      </c>
      <c r="J41" s="211">
        <f t="shared" si="19"/>
        <v>-6.0490918275791887E-2</v>
      </c>
      <c r="K41" s="171"/>
      <c r="L41" s="432">
        <f>SUM(L33:L40)</f>
        <v>132629</v>
      </c>
      <c r="M41" s="433">
        <f>SUM(M33:M40)</f>
        <v>119000.58</v>
      </c>
      <c r="N41" s="433">
        <f>SUM(N33:N40)</f>
        <v>-13628.420000000002</v>
      </c>
      <c r="O41" s="212">
        <f>IF(ISERROR(N41/L41),"-",N41/L41)</f>
        <v>-0.1027559583499838</v>
      </c>
      <c r="P41" s="171"/>
      <c r="Q41" s="432">
        <f>SUM(Q33:Q40)</f>
        <v>132629</v>
      </c>
      <c r="R41" s="433">
        <f>SUM(R33:R40)</f>
        <v>131310.70000000001</v>
      </c>
      <c r="S41" s="433">
        <f>SUM(S33:S40)</f>
        <v>-1318.3000000000011</v>
      </c>
      <c r="T41" s="1214">
        <f t="shared" si="22"/>
        <v>-9.9397567651117111E-3</v>
      </c>
      <c r="U41" s="783"/>
      <c r="V41" s="1046">
        <f>SUM(V33:V40)</f>
        <v>530516</v>
      </c>
      <c r="W41" s="1058">
        <f>SUM(W33:W40)</f>
        <v>496563.04999999993</v>
      </c>
      <c r="X41" s="1232">
        <f>SUM(X33:X40)</f>
        <v>-33952.950000000033</v>
      </c>
      <c r="Y41" s="1395">
        <f t="shared" si="24"/>
        <v>-6.3999860513160839E-2</v>
      </c>
      <c r="Z41" s="169"/>
      <c r="AA41" s="432">
        <f>SUM(AA33:AA40)</f>
        <v>530511.56000000006</v>
      </c>
      <c r="AB41" s="435">
        <f>SUM(AB33:AB40)</f>
        <v>33948.510000000031</v>
      </c>
      <c r="AC41" s="238">
        <f t="shared" si="29"/>
        <v>6.3992026865540924E-2</v>
      </c>
      <c r="AD41" s="166"/>
      <c r="AE41" s="1178"/>
    </row>
    <row r="42" spans="1:31" x14ac:dyDescent="0.3">
      <c r="A42" s="1266"/>
      <c r="B42" s="1564"/>
      <c r="C42" s="1559"/>
      <c r="D42" s="1389"/>
      <c r="E42" s="1433"/>
      <c r="F42" s="166"/>
      <c r="G42" s="424"/>
      <c r="H42" s="425"/>
      <c r="I42" s="425"/>
      <c r="J42" s="190"/>
      <c r="K42" s="166"/>
      <c r="L42" s="422"/>
      <c r="M42" s="423"/>
      <c r="N42" s="423"/>
      <c r="O42" s="191"/>
      <c r="P42" s="166"/>
      <c r="Q42" s="804"/>
      <c r="R42" s="805"/>
      <c r="S42" s="425"/>
      <c r="T42" s="1217"/>
      <c r="U42" s="782"/>
      <c r="V42" s="1323"/>
      <c r="W42" s="905"/>
      <c r="X42" s="1389"/>
      <c r="Y42" s="1577"/>
      <c r="Z42" s="169"/>
      <c r="AA42" s="816"/>
      <c r="AB42" s="423"/>
      <c r="AC42" s="191"/>
      <c r="AD42" s="160"/>
      <c r="AE42" s="1178"/>
    </row>
    <row r="43" spans="1:31" x14ac:dyDescent="0.3">
      <c r="A43" s="1256" t="s">
        <v>84</v>
      </c>
      <c r="B43" s="413"/>
      <c r="C43" s="908"/>
      <c r="D43" s="412"/>
      <c r="E43" s="1434"/>
      <c r="F43" s="160"/>
      <c r="G43" s="446"/>
      <c r="H43" s="447"/>
      <c r="I43" s="447"/>
      <c r="J43" s="245"/>
      <c r="K43" s="160"/>
      <c r="L43" s="444"/>
      <c r="M43" s="445"/>
      <c r="N43" s="445"/>
      <c r="O43" s="246"/>
      <c r="P43" s="160"/>
      <c r="Q43" s="812"/>
      <c r="R43" s="813"/>
      <c r="S43" s="447"/>
      <c r="T43" s="1218"/>
      <c r="U43" s="781"/>
      <c r="V43" s="1045"/>
      <c r="W43" s="1052"/>
      <c r="X43" s="416"/>
      <c r="Y43" s="902"/>
      <c r="Z43" s="163"/>
      <c r="AA43" s="817"/>
      <c r="AB43" s="415"/>
      <c r="AC43" s="199"/>
      <c r="AD43" s="171"/>
      <c r="AE43" s="1183"/>
    </row>
    <row r="44" spans="1:31" x14ac:dyDescent="0.3">
      <c r="A44" s="1096" t="s">
        <v>85</v>
      </c>
      <c r="B44" s="417">
        <v>1500</v>
      </c>
      <c r="C44" s="604">
        <v>255.38</v>
      </c>
      <c r="D44" s="416">
        <f t="shared" ref="D44:D75" si="32">C44-B44</f>
        <v>-1244.6199999999999</v>
      </c>
      <c r="E44" s="1003">
        <f t="shared" ref="E44:E54" si="33">IF(ISERROR(D44/B44),"-",D44/B44)</f>
        <v>-0.82974666666666663</v>
      </c>
      <c r="F44" s="171"/>
      <c r="G44" s="601">
        <v>1500</v>
      </c>
      <c r="H44" s="604">
        <v>0</v>
      </c>
      <c r="I44" s="416">
        <f t="shared" ref="I44:I75" si="34">H44-G44</f>
        <v>-1500</v>
      </c>
      <c r="J44" s="195">
        <f t="shared" ref="J44:J50" si="35">IF(ISERROR(I44/G44),"-",I44/G44)</f>
        <v>-1</v>
      </c>
      <c r="K44" s="171"/>
      <c r="L44" s="417">
        <v>1500</v>
      </c>
      <c r="M44" s="604">
        <v>0</v>
      </c>
      <c r="N44" s="416">
        <f>M44-L44</f>
        <v>-1500</v>
      </c>
      <c r="O44" s="196">
        <f t="shared" ref="O44:O72" si="36">IF(ISERROR(N44/L44),"-",N44/L44)</f>
        <v>-1</v>
      </c>
      <c r="P44" s="171"/>
      <c r="Q44" s="601">
        <v>1500</v>
      </c>
      <c r="R44" s="604">
        <v>0</v>
      </c>
      <c r="S44" s="416">
        <f t="shared" ref="S44:S75" si="37">R44-Q44</f>
        <v>-1500</v>
      </c>
      <c r="T44" s="1212">
        <f t="shared" ref="T44:T73" si="38">IF(ISERROR(S44/Q44),"-",S44/Q44)</f>
        <v>-1</v>
      </c>
      <c r="U44" s="783"/>
      <c r="V44" s="889">
        <f t="shared" ref="V44:V75" si="39">SUM(B44+G44+L44+Q44)</f>
        <v>6000</v>
      </c>
      <c r="W44" s="891">
        <f>SUM(C44+H44+M44+R44)</f>
        <v>255.38</v>
      </c>
      <c r="X44" s="416">
        <f t="shared" ref="X44:X75" si="40">W44-V44</f>
        <v>-5744.62</v>
      </c>
      <c r="Y44" s="901">
        <f t="shared" ref="Y44:Y76" si="41">IF(ISERROR(X44/V44),"-",X44/V44)</f>
        <v>-0.9574366666666666</v>
      </c>
      <c r="Z44" s="169"/>
      <c r="AA44" s="414">
        <v>6000</v>
      </c>
      <c r="AB44" s="415">
        <f>AA44-W44</f>
        <v>5744.62</v>
      </c>
      <c r="AC44" s="196">
        <f t="shared" ref="AC44:AC76" si="42">IF(ISERROR(AB44/AA44),"-",AB44/AA44)</f>
        <v>0.9574366666666666</v>
      </c>
      <c r="AD44" s="230"/>
      <c r="AE44" s="1178"/>
    </row>
    <row r="45" spans="1:31" x14ac:dyDescent="0.3">
      <c r="A45" s="1096" t="s">
        <v>128</v>
      </c>
      <c r="B45" s="417">
        <v>20000</v>
      </c>
      <c r="C45" s="604">
        <v>6325.34</v>
      </c>
      <c r="D45" s="416">
        <f t="shared" si="32"/>
        <v>-13674.66</v>
      </c>
      <c r="E45" s="1003">
        <f t="shared" si="33"/>
        <v>-0.68373300000000004</v>
      </c>
      <c r="F45" s="230"/>
      <c r="G45" s="601">
        <v>20000</v>
      </c>
      <c r="H45" s="602">
        <v>4838.76</v>
      </c>
      <c r="I45" s="416">
        <f t="shared" si="34"/>
        <v>-15161.24</v>
      </c>
      <c r="J45" s="195">
        <f t="shared" si="35"/>
        <v>-0.75806200000000001</v>
      </c>
      <c r="K45" s="230"/>
      <c r="L45" s="417">
        <v>20000</v>
      </c>
      <c r="M45" s="567">
        <v>4838.76</v>
      </c>
      <c r="N45" s="416">
        <f>M45-L45</f>
        <v>-15161.24</v>
      </c>
      <c r="O45" s="196">
        <f t="shared" si="36"/>
        <v>-0.75806200000000001</v>
      </c>
      <c r="P45" s="230"/>
      <c r="Q45" s="601">
        <v>20000</v>
      </c>
      <c r="R45" s="602">
        <v>81096.94</v>
      </c>
      <c r="S45" s="416">
        <f t="shared" si="37"/>
        <v>61096.94</v>
      </c>
      <c r="T45" s="1212">
        <f t="shared" si="38"/>
        <v>3.0548470000000001</v>
      </c>
      <c r="U45" s="785"/>
      <c r="V45" s="889">
        <f t="shared" si="39"/>
        <v>80000</v>
      </c>
      <c r="W45" s="891">
        <f t="shared" ref="W45:W75" si="43">SUM(C45+H45+M45+R45)</f>
        <v>97099.8</v>
      </c>
      <c r="X45" s="416">
        <f t="shared" si="40"/>
        <v>17099.800000000003</v>
      </c>
      <c r="Y45" s="901">
        <f>IF(ISERROR(X45/V45),"-",X45/V45)</f>
        <v>0.21374750000000003</v>
      </c>
      <c r="Z45" s="231"/>
      <c r="AA45" s="1584">
        <v>80000</v>
      </c>
      <c r="AB45" s="415">
        <f>AA45-W45</f>
        <v>-17099.800000000003</v>
      </c>
      <c r="AC45" s="196">
        <f t="shared" si="42"/>
        <v>-0.21374750000000003</v>
      </c>
      <c r="AD45" s="230"/>
      <c r="AE45" s="1178"/>
    </row>
    <row r="46" spans="1:31" x14ac:dyDescent="0.3">
      <c r="A46" s="1096" t="s">
        <v>127</v>
      </c>
      <c r="B46" s="417">
        <v>0</v>
      </c>
      <c r="C46" s="604">
        <v>0</v>
      </c>
      <c r="D46" s="416">
        <f t="shared" si="32"/>
        <v>0</v>
      </c>
      <c r="E46" s="1003" t="str">
        <f t="shared" si="33"/>
        <v>-</v>
      </c>
      <c r="F46" s="230"/>
      <c r="G46" s="414">
        <v>0</v>
      </c>
      <c r="H46" s="604">
        <v>0</v>
      </c>
      <c r="I46" s="416">
        <f t="shared" si="34"/>
        <v>0</v>
      </c>
      <c r="J46" s="195" t="str">
        <f t="shared" si="35"/>
        <v>-</v>
      </c>
      <c r="K46" s="230"/>
      <c r="L46" s="417">
        <v>0</v>
      </c>
      <c r="M46" s="604">
        <v>0</v>
      </c>
      <c r="N46" s="416">
        <f t="shared" ref="N46:N75" si="44">M46-L46</f>
        <v>0</v>
      </c>
      <c r="O46" s="196" t="str">
        <f t="shared" si="36"/>
        <v>-</v>
      </c>
      <c r="P46" s="230"/>
      <c r="Q46" s="601">
        <v>0</v>
      </c>
      <c r="R46" s="604">
        <v>0</v>
      </c>
      <c r="S46" s="416">
        <f t="shared" si="37"/>
        <v>0</v>
      </c>
      <c r="T46" s="1212" t="str">
        <f t="shared" si="38"/>
        <v>-</v>
      </c>
      <c r="U46" s="785"/>
      <c r="V46" s="889">
        <f t="shared" si="39"/>
        <v>0</v>
      </c>
      <c r="W46" s="891">
        <f t="shared" si="43"/>
        <v>0</v>
      </c>
      <c r="X46" s="416">
        <f t="shared" si="40"/>
        <v>0</v>
      </c>
      <c r="Y46" s="901" t="str">
        <f t="shared" si="41"/>
        <v>-</v>
      </c>
      <c r="Z46" s="231"/>
      <c r="AA46" s="414">
        <v>0</v>
      </c>
      <c r="AB46" s="415">
        <f t="shared" ref="AB46:AB75" si="45">AA46-W46</f>
        <v>0</v>
      </c>
      <c r="AC46" s="196" t="str">
        <f t="shared" si="42"/>
        <v>-</v>
      </c>
      <c r="AD46" s="230"/>
      <c r="AE46" s="1183"/>
    </row>
    <row r="47" spans="1:31" x14ac:dyDescent="0.3">
      <c r="A47" s="1096" t="s">
        <v>86</v>
      </c>
      <c r="B47" s="417">
        <v>300</v>
      </c>
      <c r="C47" s="1097">
        <v>541.76</v>
      </c>
      <c r="D47" s="416">
        <f t="shared" si="32"/>
        <v>241.76</v>
      </c>
      <c r="E47" s="1003">
        <f t="shared" si="33"/>
        <v>0.80586666666666662</v>
      </c>
      <c r="F47" s="230"/>
      <c r="G47" s="601">
        <v>300</v>
      </c>
      <c r="H47" s="602">
        <v>148.5</v>
      </c>
      <c r="I47" s="416">
        <f t="shared" si="34"/>
        <v>-151.5</v>
      </c>
      <c r="J47" s="195">
        <f t="shared" si="35"/>
        <v>-0.505</v>
      </c>
      <c r="K47" s="230"/>
      <c r="L47" s="417">
        <v>300</v>
      </c>
      <c r="M47" s="567">
        <v>222</v>
      </c>
      <c r="N47" s="416">
        <f t="shared" si="44"/>
        <v>-78</v>
      </c>
      <c r="O47" s="196">
        <f t="shared" si="36"/>
        <v>-0.26</v>
      </c>
      <c r="P47" s="230"/>
      <c r="Q47" s="601">
        <v>300</v>
      </c>
      <c r="R47" s="602">
        <v>81</v>
      </c>
      <c r="S47" s="416">
        <f t="shared" si="37"/>
        <v>-219</v>
      </c>
      <c r="T47" s="1212">
        <f t="shared" si="38"/>
        <v>-0.73</v>
      </c>
      <c r="U47" s="785"/>
      <c r="V47" s="889">
        <f t="shared" si="39"/>
        <v>1200</v>
      </c>
      <c r="W47" s="891">
        <f t="shared" si="43"/>
        <v>993.26</v>
      </c>
      <c r="X47" s="416">
        <f t="shared" si="40"/>
        <v>-206.74</v>
      </c>
      <c r="Y47" s="901">
        <f t="shared" si="41"/>
        <v>-0.17228333333333334</v>
      </c>
      <c r="Z47" s="231"/>
      <c r="AA47" s="414">
        <v>1200</v>
      </c>
      <c r="AB47" s="415">
        <f t="shared" si="45"/>
        <v>206.74</v>
      </c>
      <c r="AC47" s="196">
        <f t="shared" si="42"/>
        <v>0.17228333333333334</v>
      </c>
      <c r="AD47" s="230"/>
      <c r="AE47" s="1178"/>
    </row>
    <row r="48" spans="1:31" x14ac:dyDescent="0.3">
      <c r="A48" s="1096" t="s">
        <v>87</v>
      </c>
      <c r="B48" s="417">
        <v>0</v>
      </c>
      <c r="C48" s="604">
        <v>0</v>
      </c>
      <c r="D48" s="416">
        <f t="shared" si="32"/>
        <v>0</v>
      </c>
      <c r="E48" s="1003" t="str">
        <f t="shared" si="33"/>
        <v>-</v>
      </c>
      <c r="F48" s="230"/>
      <c r="G48" s="414">
        <v>0</v>
      </c>
      <c r="H48" s="604">
        <v>0</v>
      </c>
      <c r="I48" s="416">
        <f t="shared" si="34"/>
        <v>0</v>
      </c>
      <c r="J48" s="195" t="str">
        <f t="shared" si="35"/>
        <v>-</v>
      </c>
      <c r="K48" s="230"/>
      <c r="L48" s="417">
        <v>0</v>
      </c>
      <c r="M48" s="604">
        <v>0</v>
      </c>
      <c r="N48" s="416">
        <f t="shared" si="44"/>
        <v>0</v>
      </c>
      <c r="O48" s="196" t="str">
        <f t="shared" si="36"/>
        <v>-</v>
      </c>
      <c r="P48" s="230"/>
      <c r="Q48" s="601">
        <v>0</v>
      </c>
      <c r="R48" s="604">
        <v>0</v>
      </c>
      <c r="S48" s="416">
        <f t="shared" si="37"/>
        <v>0</v>
      </c>
      <c r="T48" s="1212" t="str">
        <f t="shared" si="38"/>
        <v>-</v>
      </c>
      <c r="U48" s="785"/>
      <c r="V48" s="889">
        <f>SUM(B48+G48+L48+Q48)</f>
        <v>0</v>
      </c>
      <c r="W48" s="891">
        <f t="shared" si="43"/>
        <v>0</v>
      </c>
      <c r="X48" s="416">
        <f t="shared" si="40"/>
        <v>0</v>
      </c>
      <c r="Y48" s="901" t="str">
        <f t="shared" si="41"/>
        <v>-</v>
      </c>
      <c r="Z48" s="231"/>
      <c r="AA48" s="414">
        <v>0</v>
      </c>
      <c r="AB48" s="415">
        <f t="shared" si="45"/>
        <v>0</v>
      </c>
      <c r="AC48" s="196" t="str">
        <f t="shared" si="42"/>
        <v>-</v>
      </c>
      <c r="AD48" s="171"/>
      <c r="AE48" s="1183"/>
    </row>
    <row r="49" spans="1:31" x14ac:dyDescent="0.3">
      <c r="A49" s="1096" t="s">
        <v>88</v>
      </c>
      <c r="B49" s="417">
        <v>2000</v>
      </c>
      <c r="C49" s="1097">
        <v>1714.19</v>
      </c>
      <c r="D49" s="416">
        <f t="shared" si="32"/>
        <v>-285.80999999999995</v>
      </c>
      <c r="E49" s="1003">
        <f t="shared" si="33"/>
        <v>-0.14290499999999998</v>
      </c>
      <c r="F49" s="171"/>
      <c r="G49" s="601">
        <v>2000</v>
      </c>
      <c r="H49" s="602">
        <v>1153.8800000000001</v>
      </c>
      <c r="I49" s="416">
        <f t="shared" si="34"/>
        <v>-846.11999999999989</v>
      </c>
      <c r="J49" s="195">
        <f t="shared" si="35"/>
        <v>-0.42305999999999994</v>
      </c>
      <c r="K49" s="171"/>
      <c r="L49" s="417">
        <v>2000</v>
      </c>
      <c r="M49" s="567">
        <v>1132.1300000000001</v>
      </c>
      <c r="N49" s="416">
        <f t="shared" si="44"/>
        <v>-867.86999999999989</v>
      </c>
      <c r="O49" s="196">
        <f t="shared" si="36"/>
        <v>-0.43393499999999996</v>
      </c>
      <c r="P49" s="171"/>
      <c r="Q49" s="601">
        <v>2000</v>
      </c>
      <c r="R49" s="602">
        <v>2007.72</v>
      </c>
      <c r="S49" s="416">
        <f t="shared" si="37"/>
        <v>7.7200000000000273</v>
      </c>
      <c r="T49" s="1212">
        <f t="shared" si="38"/>
        <v>3.8600000000000136E-3</v>
      </c>
      <c r="U49" s="783"/>
      <c r="V49" s="889">
        <f t="shared" si="39"/>
        <v>8000</v>
      </c>
      <c r="W49" s="891">
        <f t="shared" si="43"/>
        <v>6007.92</v>
      </c>
      <c r="X49" s="416">
        <f t="shared" si="40"/>
        <v>-1992.08</v>
      </c>
      <c r="Y49" s="901">
        <f t="shared" si="41"/>
        <v>-0.24900999999999998</v>
      </c>
      <c r="Z49" s="169"/>
      <c r="AA49" s="1584">
        <v>8000</v>
      </c>
      <c r="AB49" s="415">
        <f t="shared" si="45"/>
        <v>1992.08</v>
      </c>
      <c r="AC49" s="196">
        <f t="shared" si="42"/>
        <v>0.24900999999999998</v>
      </c>
      <c r="AD49" s="171"/>
      <c r="AE49" s="1183"/>
    </row>
    <row r="50" spans="1:31" x14ac:dyDescent="0.3">
      <c r="A50" s="1096" t="s">
        <v>89</v>
      </c>
      <c r="B50" s="417">
        <v>1200</v>
      </c>
      <c r="C50" s="604">
        <v>0</v>
      </c>
      <c r="D50" s="416">
        <f t="shared" si="32"/>
        <v>-1200</v>
      </c>
      <c r="E50" s="1003">
        <f t="shared" si="33"/>
        <v>-1</v>
      </c>
      <c r="F50" s="171"/>
      <c r="G50" s="601">
        <v>1200</v>
      </c>
      <c r="H50" s="604">
        <v>0</v>
      </c>
      <c r="I50" s="416">
        <f t="shared" si="34"/>
        <v>-1200</v>
      </c>
      <c r="J50" s="195">
        <f t="shared" si="35"/>
        <v>-1</v>
      </c>
      <c r="K50" s="171"/>
      <c r="L50" s="417">
        <v>1200</v>
      </c>
      <c r="M50" s="604">
        <v>0</v>
      </c>
      <c r="N50" s="416">
        <f t="shared" si="44"/>
        <v>-1200</v>
      </c>
      <c r="O50" s="196">
        <f t="shared" si="36"/>
        <v>-1</v>
      </c>
      <c r="P50" s="171"/>
      <c r="Q50" s="601">
        <v>1200</v>
      </c>
      <c r="R50" s="604">
        <v>0</v>
      </c>
      <c r="S50" s="416">
        <f t="shared" si="37"/>
        <v>-1200</v>
      </c>
      <c r="T50" s="1212">
        <f t="shared" si="38"/>
        <v>-1</v>
      </c>
      <c r="U50" s="783"/>
      <c r="V50" s="889">
        <f t="shared" si="39"/>
        <v>4800</v>
      </c>
      <c r="W50" s="891">
        <f t="shared" si="43"/>
        <v>0</v>
      </c>
      <c r="X50" s="416">
        <f t="shared" si="40"/>
        <v>-4800</v>
      </c>
      <c r="Y50" s="901">
        <f t="shared" si="41"/>
        <v>-1</v>
      </c>
      <c r="Z50" s="169"/>
      <c r="AA50" s="414">
        <v>4800</v>
      </c>
      <c r="AB50" s="415">
        <f t="shared" si="45"/>
        <v>4800</v>
      </c>
      <c r="AC50" s="196">
        <f t="shared" si="42"/>
        <v>1</v>
      </c>
      <c r="AD50" s="171"/>
      <c r="AE50" s="1183"/>
    </row>
    <row r="51" spans="1:31" x14ac:dyDescent="0.3">
      <c r="A51" s="1096" t="s">
        <v>113</v>
      </c>
      <c r="B51" s="417">
        <v>0</v>
      </c>
      <c r="C51" s="604">
        <v>0</v>
      </c>
      <c r="D51" s="416">
        <f t="shared" si="32"/>
        <v>0</v>
      </c>
      <c r="E51" s="1003" t="str">
        <f t="shared" si="33"/>
        <v>-</v>
      </c>
      <c r="F51" s="171"/>
      <c r="G51" s="601">
        <v>0</v>
      </c>
      <c r="H51" s="604">
        <v>0</v>
      </c>
      <c r="I51" s="416">
        <f t="shared" si="34"/>
        <v>0</v>
      </c>
      <c r="J51" s="195"/>
      <c r="K51" s="171"/>
      <c r="L51" s="417">
        <v>0</v>
      </c>
      <c r="M51" s="604">
        <v>0</v>
      </c>
      <c r="N51" s="416">
        <f t="shared" si="44"/>
        <v>0</v>
      </c>
      <c r="O51" s="196"/>
      <c r="P51" s="171"/>
      <c r="Q51" s="601">
        <v>0</v>
      </c>
      <c r="R51" s="604">
        <v>0</v>
      </c>
      <c r="S51" s="416">
        <f t="shared" si="37"/>
        <v>0</v>
      </c>
      <c r="T51" s="1212" t="str">
        <f t="shared" si="38"/>
        <v>-</v>
      </c>
      <c r="U51" s="783"/>
      <c r="V51" s="889">
        <f t="shared" si="39"/>
        <v>0</v>
      </c>
      <c r="W51" s="891">
        <f t="shared" si="43"/>
        <v>0</v>
      </c>
      <c r="X51" s="416">
        <f t="shared" si="40"/>
        <v>0</v>
      </c>
      <c r="Y51" s="901"/>
      <c r="Z51" s="169"/>
      <c r="AA51" s="414">
        <v>0</v>
      </c>
      <c r="AB51" s="415">
        <f t="shared" si="45"/>
        <v>0</v>
      </c>
      <c r="AC51" s="196" t="str">
        <f t="shared" si="42"/>
        <v>-</v>
      </c>
      <c r="AD51" s="230"/>
      <c r="AE51" s="1178"/>
    </row>
    <row r="52" spans="1:31" x14ac:dyDescent="0.3">
      <c r="A52" s="1096" t="s">
        <v>126</v>
      </c>
      <c r="B52" s="417">
        <v>1750</v>
      </c>
      <c r="C52" s="604">
        <v>12613.53</v>
      </c>
      <c r="D52" s="416">
        <f t="shared" si="32"/>
        <v>10863.53</v>
      </c>
      <c r="E52" s="1003">
        <f t="shared" si="33"/>
        <v>6.2077314285714289</v>
      </c>
      <c r="F52" s="230"/>
      <c r="G52" s="601">
        <v>1750</v>
      </c>
      <c r="H52" s="567">
        <v>12613.53</v>
      </c>
      <c r="I52" s="416">
        <f t="shared" si="34"/>
        <v>10863.53</v>
      </c>
      <c r="J52" s="195">
        <f>IF(ISERROR(I52/G52),"-",I52/G52)</f>
        <v>6.2077314285714289</v>
      </c>
      <c r="K52" s="230"/>
      <c r="L52" s="417">
        <v>1750</v>
      </c>
      <c r="M52" s="567">
        <v>12613.53</v>
      </c>
      <c r="N52" s="416">
        <f t="shared" si="44"/>
        <v>10863.53</v>
      </c>
      <c r="O52" s="196">
        <f t="shared" si="36"/>
        <v>6.2077314285714289</v>
      </c>
      <c r="P52" s="230"/>
      <c r="Q52" s="601">
        <v>1750</v>
      </c>
      <c r="R52" s="602">
        <v>22256.9</v>
      </c>
      <c r="S52" s="416">
        <f t="shared" si="37"/>
        <v>20506.900000000001</v>
      </c>
      <c r="T52" s="1212">
        <f t="shared" si="38"/>
        <v>11.718228571428572</v>
      </c>
      <c r="U52" s="785"/>
      <c r="V52" s="889">
        <f t="shared" si="39"/>
        <v>7000</v>
      </c>
      <c r="W52" s="891">
        <f t="shared" si="43"/>
        <v>60097.490000000005</v>
      </c>
      <c r="X52" s="416">
        <f t="shared" si="40"/>
        <v>53097.490000000005</v>
      </c>
      <c r="Y52" s="901">
        <f t="shared" si="41"/>
        <v>7.5853557142857149</v>
      </c>
      <c r="Z52" s="231"/>
      <c r="AA52" s="414">
        <v>7000</v>
      </c>
      <c r="AB52" s="415">
        <f t="shared" si="45"/>
        <v>-53097.490000000005</v>
      </c>
      <c r="AC52" s="196">
        <f t="shared" si="42"/>
        <v>-7.5853557142857149</v>
      </c>
      <c r="AD52" s="230"/>
      <c r="AE52" s="1179"/>
    </row>
    <row r="53" spans="1:31" x14ac:dyDescent="0.3">
      <c r="A53" s="1096" t="s">
        <v>82</v>
      </c>
      <c r="B53" s="417">
        <v>15450</v>
      </c>
      <c r="C53" s="604">
        <v>14539.94</v>
      </c>
      <c r="D53" s="416">
        <f t="shared" si="32"/>
        <v>-910.05999999999949</v>
      </c>
      <c r="E53" s="1003">
        <f t="shared" si="33"/>
        <v>-5.8903559870550126E-2</v>
      </c>
      <c r="F53" s="230"/>
      <c r="G53" s="601">
        <v>15450</v>
      </c>
      <c r="H53" s="602">
        <v>18850</v>
      </c>
      <c r="I53" s="416">
        <f t="shared" si="34"/>
        <v>3400</v>
      </c>
      <c r="J53" s="195">
        <f>IF(ISERROR(I53/G53),"-",I53/G53)</f>
        <v>0.22006472491909385</v>
      </c>
      <c r="K53" s="230"/>
      <c r="L53" s="417">
        <v>15450</v>
      </c>
      <c r="M53" s="567">
        <v>12900</v>
      </c>
      <c r="N53" s="416">
        <f t="shared" si="44"/>
        <v>-2550</v>
      </c>
      <c r="O53" s="196">
        <f t="shared" si="36"/>
        <v>-0.1650485436893204</v>
      </c>
      <c r="P53" s="230"/>
      <c r="Q53" s="601">
        <v>15450</v>
      </c>
      <c r="R53" s="602">
        <v>12900</v>
      </c>
      <c r="S53" s="416">
        <f t="shared" si="37"/>
        <v>-2550</v>
      </c>
      <c r="T53" s="1212">
        <f t="shared" si="38"/>
        <v>-0.1650485436893204</v>
      </c>
      <c r="U53" s="785"/>
      <c r="V53" s="889">
        <f t="shared" si="39"/>
        <v>61800</v>
      </c>
      <c r="W53" s="891">
        <f t="shared" si="43"/>
        <v>59189.94</v>
      </c>
      <c r="X53" s="416">
        <f t="shared" si="40"/>
        <v>-2610.0599999999977</v>
      </c>
      <c r="Y53" s="901">
        <f t="shared" si="41"/>
        <v>-4.2233980582524235E-2</v>
      </c>
      <c r="Z53" s="231"/>
      <c r="AA53" s="1584">
        <v>61800</v>
      </c>
      <c r="AB53" s="415">
        <f t="shared" si="45"/>
        <v>2610.0599999999977</v>
      </c>
      <c r="AC53" s="196">
        <f t="shared" si="42"/>
        <v>4.2233980582524235E-2</v>
      </c>
      <c r="AD53" s="230"/>
      <c r="AE53" s="1179"/>
    </row>
    <row r="54" spans="1:31" x14ac:dyDescent="0.3">
      <c r="A54" s="1096" t="s">
        <v>125</v>
      </c>
      <c r="B54" s="417">
        <v>0</v>
      </c>
      <c r="C54" s="604">
        <v>0</v>
      </c>
      <c r="D54" s="416">
        <f t="shared" si="32"/>
        <v>0</v>
      </c>
      <c r="E54" s="1003" t="str">
        <f t="shared" si="33"/>
        <v>-</v>
      </c>
      <c r="F54" s="230"/>
      <c r="G54" s="601">
        <v>0</v>
      </c>
      <c r="H54" s="604">
        <v>0</v>
      </c>
      <c r="I54" s="416">
        <f t="shared" si="34"/>
        <v>0</v>
      </c>
      <c r="J54" s="195"/>
      <c r="K54" s="230"/>
      <c r="L54" s="417">
        <v>0</v>
      </c>
      <c r="M54" s="604">
        <v>0</v>
      </c>
      <c r="N54" s="416">
        <f t="shared" si="44"/>
        <v>0</v>
      </c>
      <c r="O54" s="196"/>
      <c r="P54" s="230"/>
      <c r="Q54" s="601">
        <v>0</v>
      </c>
      <c r="R54" s="604">
        <v>0</v>
      </c>
      <c r="S54" s="416">
        <f t="shared" si="37"/>
        <v>0</v>
      </c>
      <c r="T54" s="1212" t="str">
        <f t="shared" si="38"/>
        <v>-</v>
      </c>
      <c r="U54" s="785"/>
      <c r="V54" s="889">
        <f t="shared" si="39"/>
        <v>0</v>
      </c>
      <c r="W54" s="891">
        <f t="shared" si="43"/>
        <v>0</v>
      </c>
      <c r="X54" s="416">
        <f t="shared" si="40"/>
        <v>0</v>
      </c>
      <c r="Y54" s="901"/>
      <c r="Z54" s="231"/>
      <c r="AA54" s="414">
        <v>0</v>
      </c>
      <c r="AB54" s="415">
        <f t="shared" si="45"/>
        <v>0</v>
      </c>
      <c r="AC54" s="196" t="str">
        <f t="shared" si="42"/>
        <v>-</v>
      </c>
      <c r="AD54" s="230"/>
      <c r="AE54" s="1179"/>
    </row>
    <row r="55" spans="1:31" x14ac:dyDescent="0.3">
      <c r="A55" s="1096" t="s">
        <v>90</v>
      </c>
      <c r="B55" s="417">
        <v>0</v>
      </c>
      <c r="C55" s="604">
        <v>585.34</v>
      </c>
      <c r="D55" s="416">
        <f t="shared" si="32"/>
        <v>585.34</v>
      </c>
      <c r="E55" s="1003" t="str">
        <f t="shared" ref="E55:E76" si="46">IF(ISERROR(D55/B55),"-",D55/B55)</f>
        <v>-</v>
      </c>
      <c r="F55" s="230"/>
      <c r="G55" s="601">
        <v>0</v>
      </c>
      <c r="H55" s="604">
        <v>0</v>
      </c>
      <c r="I55" s="416">
        <f t="shared" si="34"/>
        <v>0</v>
      </c>
      <c r="J55" s="195" t="str">
        <f t="shared" ref="J55:J76" si="47">IF(ISERROR(I55/G55),"-",I55/G55)</f>
        <v>-</v>
      </c>
      <c r="K55" s="230"/>
      <c r="L55" s="417">
        <v>0</v>
      </c>
      <c r="M55" s="604">
        <v>0</v>
      </c>
      <c r="N55" s="416">
        <f t="shared" si="44"/>
        <v>0</v>
      </c>
      <c r="O55" s="196" t="str">
        <f t="shared" si="36"/>
        <v>-</v>
      </c>
      <c r="P55" s="230"/>
      <c r="Q55" s="601">
        <v>0</v>
      </c>
      <c r="R55" s="604">
        <v>0</v>
      </c>
      <c r="S55" s="416">
        <f t="shared" si="37"/>
        <v>0</v>
      </c>
      <c r="T55" s="1212" t="str">
        <f t="shared" si="38"/>
        <v>-</v>
      </c>
      <c r="U55" s="785"/>
      <c r="V55" s="889">
        <f t="shared" si="39"/>
        <v>0</v>
      </c>
      <c r="W55" s="891">
        <f t="shared" si="43"/>
        <v>585.34</v>
      </c>
      <c r="X55" s="416">
        <f t="shared" si="40"/>
        <v>585.34</v>
      </c>
      <c r="Y55" s="901" t="str">
        <f t="shared" si="41"/>
        <v>-</v>
      </c>
      <c r="Z55" s="231"/>
      <c r="AA55" s="414">
        <v>0</v>
      </c>
      <c r="AB55" s="415">
        <f t="shared" si="45"/>
        <v>-585.34</v>
      </c>
      <c r="AC55" s="196" t="str">
        <f t="shared" si="42"/>
        <v>-</v>
      </c>
      <c r="AD55" s="230"/>
      <c r="AE55" s="1178"/>
    </row>
    <row r="56" spans="1:31" x14ac:dyDescent="0.3">
      <c r="A56" s="1096" t="s">
        <v>91</v>
      </c>
      <c r="B56" s="417">
        <v>2500</v>
      </c>
      <c r="C56" s="604">
        <v>0</v>
      </c>
      <c r="D56" s="416">
        <f t="shared" si="32"/>
        <v>-2500</v>
      </c>
      <c r="E56" s="1003">
        <f t="shared" si="46"/>
        <v>-1</v>
      </c>
      <c r="F56" s="230"/>
      <c r="G56" s="601">
        <v>2500</v>
      </c>
      <c r="H56" s="604">
        <v>0</v>
      </c>
      <c r="I56" s="416">
        <f t="shared" si="34"/>
        <v>-2500</v>
      </c>
      <c r="J56" s="195">
        <f t="shared" si="47"/>
        <v>-1</v>
      </c>
      <c r="K56" s="230"/>
      <c r="L56" s="417">
        <v>2500</v>
      </c>
      <c r="M56" s="604">
        <v>0</v>
      </c>
      <c r="N56" s="416">
        <f t="shared" si="44"/>
        <v>-2500</v>
      </c>
      <c r="O56" s="196">
        <f t="shared" si="36"/>
        <v>-1</v>
      </c>
      <c r="P56" s="230"/>
      <c r="Q56" s="601">
        <v>2500</v>
      </c>
      <c r="R56" s="602">
        <v>8729.43</v>
      </c>
      <c r="S56" s="416">
        <f t="shared" si="37"/>
        <v>6229.43</v>
      </c>
      <c r="T56" s="1212">
        <f t="shared" si="38"/>
        <v>2.4917720000000001</v>
      </c>
      <c r="U56" s="785"/>
      <c r="V56" s="889">
        <f t="shared" si="39"/>
        <v>10000</v>
      </c>
      <c r="W56" s="891">
        <f t="shared" si="43"/>
        <v>8729.43</v>
      </c>
      <c r="X56" s="416">
        <f t="shared" si="40"/>
        <v>-1270.5699999999997</v>
      </c>
      <c r="Y56" s="901">
        <f>IF(ISERROR(X56/V56),"-",X56/V56)</f>
        <v>-0.12705699999999998</v>
      </c>
      <c r="Z56" s="231"/>
      <c r="AA56" s="414">
        <v>10000</v>
      </c>
      <c r="AB56" s="415">
        <f t="shared" si="45"/>
        <v>1270.5699999999997</v>
      </c>
      <c r="AC56" s="196">
        <f t="shared" si="42"/>
        <v>0.12705699999999998</v>
      </c>
      <c r="AD56" s="230"/>
      <c r="AE56" s="1178"/>
    </row>
    <row r="57" spans="1:31" x14ac:dyDescent="0.3">
      <c r="A57" s="1096" t="s">
        <v>92</v>
      </c>
      <c r="B57" s="417">
        <v>0</v>
      </c>
      <c r="C57" s="604">
        <v>0</v>
      </c>
      <c r="D57" s="416">
        <f t="shared" si="32"/>
        <v>0</v>
      </c>
      <c r="E57" s="1003" t="str">
        <f t="shared" si="46"/>
        <v>-</v>
      </c>
      <c r="F57" s="230"/>
      <c r="G57" s="601">
        <v>0</v>
      </c>
      <c r="H57" s="604">
        <v>0</v>
      </c>
      <c r="I57" s="416">
        <f t="shared" si="34"/>
        <v>0</v>
      </c>
      <c r="J57" s="195" t="str">
        <f t="shared" si="47"/>
        <v>-</v>
      </c>
      <c r="K57" s="230"/>
      <c r="L57" s="417">
        <v>0</v>
      </c>
      <c r="M57" s="604">
        <v>0</v>
      </c>
      <c r="N57" s="416">
        <f t="shared" si="44"/>
        <v>0</v>
      </c>
      <c r="O57" s="196" t="str">
        <f t="shared" si="36"/>
        <v>-</v>
      </c>
      <c r="P57" s="230"/>
      <c r="Q57" s="601">
        <v>0</v>
      </c>
      <c r="R57" s="604">
        <v>0</v>
      </c>
      <c r="S57" s="416">
        <f t="shared" si="37"/>
        <v>0</v>
      </c>
      <c r="T57" s="1212" t="str">
        <f t="shared" si="38"/>
        <v>-</v>
      </c>
      <c r="U57" s="785"/>
      <c r="V57" s="889">
        <f t="shared" si="39"/>
        <v>0</v>
      </c>
      <c r="W57" s="891">
        <f t="shared" si="43"/>
        <v>0</v>
      </c>
      <c r="X57" s="416">
        <f t="shared" si="40"/>
        <v>0</v>
      </c>
      <c r="Y57" s="901" t="str">
        <f t="shared" si="41"/>
        <v>-</v>
      </c>
      <c r="Z57" s="231"/>
      <c r="AA57" s="414">
        <v>0</v>
      </c>
      <c r="AB57" s="415">
        <f t="shared" si="45"/>
        <v>0</v>
      </c>
      <c r="AC57" s="196" t="str">
        <f t="shared" si="42"/>
        <v>-</v>
      </c>
      <c r="AD57" s="230"/>
      <c r="AE57" s="1179"/>
    </row>
    <row r="58" spans="1:31" x14ac:dyDescent="0.3">
      <c r="A58" s="1096" t="s">
        <v>93</v>
      </c>
      <c r="B58" s="417">
        <v>17500</v>
      </c>
      <c r="C58" s="604">
        <v>0</v>
      </c>
      <c r="D58" s="416">
        <f t="shared" si="32"/>
        <v>-17500</v>
      </c>
      <c r="E58" s="1003">
        <f t="shared" si="46"/>
        <v>-1</v>
      </c>
      <c r="F58" s="230"/>
      <c r="G58" s="601">
        <v>17500</v>
      </c>
      <c r="H58" s="604">
        <v>0</v>
      </c>
      <c r="I58" s="416">
        <f t="shared" si="34"/>
        <v>-17500</v>
      </c>
      <c r="J58" s="195">
        <f t="shared" si="47"/>
        <v>-1</v>
      </c>
      <c r="K58" s="230"/>
      <c r="L58" s="417">
        <v>17500</v>
      </c>
      <c r="M58" s="604">
        <v>0</v>
      </c>
      <c r="N58" s="416">
        <f t="shared" si="44"/>
        <v>-17500</v>
      </c>
      <c r="O58" s="196">
        <f t="shared" si="36"/>
        <v>-1</v>
      </c>
      <c r="P58" s="230"/>
      <c r="Q58" s="601">
        <v>17500</v>
      </c>
      <c r="R58" s="604">
        <v>0</v>
      </c>
      <c r="S58" s="416">
        <f t="shared" si="37"/>
        <v>-17500</v>
      </c>
      <c r="T58" s="1212">
        <f t="shared" si="38"/>
        <v>-1</v>
      </c>
      <c r="U58" s="785"/>
      <c r="V58" s="889">
        <f>SUM(B58+G58+L58+Q58)</f>
        <v>70000</v>
      </c>
      <c r="W58" s="891">
        <f t="shared" si="43"/>
        <v>0</v>
      </c>
      <c r="X58" s="416">
        <f t="shared" si="40"/>
        <v>-70000</v>
      </c>
      <c r="Y58" s="901">
        <f t="shared" si="41"/>
        <v>-1</v>
      </c>
      <c r="Z58" s="231"/>
      <c r="AA58" s="414">
        <v>70000</v>
      </c>
      <c r="AB58" s="415">
        <f t="shared" si="45"/>
        <v>70000</v>
      </c>
      <c r="AC58" s="196">
        <f t="shared" si="42"/>
        <v>1</v>
      </c>
      <c r="AD58" s="230"/>
      <c r="AE58" s="1179"/>
    </row>
    <row r="59" spans="1:31" x14ac:dyDescent="0.3">
      <c r="A59" s="1096" t="s">
        <v>94</v>
      </c>
      <c r="B59" s="417">
        <v>0</v>
      </c>
      <c r="C59" s="604">
        <v>0</v>
      </c>
      <c r="D59" s="416">
        <f t="shared" si="32"/>
        <v>0</v>
      </c>
      <c r="E59" s="1003" t="str">
        <f t="shared" si="46"/>
        <v>-</v>
      </c>
      <c r="F59" s="230"/>
      <c r="G59" s="601">
        <v>0</v>
      </c>
      <c r="H59" s="604">
        <v>0</v>
      </c>
      <c r="I59" s="416">
        <f t="shared" si="34"/>
        <v>0</v>
      </c>
      <c r="J59" s="195" t="str">
        <f t="shared" si="47"/>
        <v>-</v>
      </c>
      <c r="K59" s="230"/>
      <c r="L59" s="417">
        <v>0</v>
      </c>
      <c r="M59" s="604">
        <v>0</v>
      </c>
      <c r="N59" s="416">
        <f t="shared" si="44"/>
        <v>0</v>
      </c>
      <c r="O59" s="196" t="str">
        <f t="shared" si="36"/>
        <v>-</v>
      </c>
      <c r="P59" s="230"/>
      <c r="Q59" s="601">
        <v>0</v>
      </c>
      <c r="R59" s="604">
        <v>0</v>
      </c>
      <c r="S59" s="416">
        <f t="shared" si="37"/>
        <v>0</v>
      </c>
      <c r="T59" s="1212" t="str">
        <f t="shared" si="38"/>
        <v>-</v>
      </c>
      <c r="U59" s="785"/>
      <c r="V59" s="889">
        <f t="shared" si="39"/>
        <v>0</v>
      </c>
      <c r="W59" s="891">
        <f t="shared" si="43"/>
        <v>0</v>
      </c>
      <c r="X59" s="416">
        <f t="shared" si="40"/>
        <v>0</v>
      </c>
      <c r="Y59" s="901" t="str">
        <f t="shared" si="41"/>
        <v>-</v>
      </c>
      <c r="Z59" s="231"/>
      <c r="AA59" s="414">
        <v>0</v>
      </c>
      <c r="AB59" s="415">
        <f t="shared" si="45"/>
        <v>0</v>
      </c>
      <c r="AC59" s="196" t="str">
        <f t="shared" si="42"/>
        <v>-</v>
      </c>
      <c r="AD59" s="171"/>
      <c r="AE59" s="1179"/>
    </row>
    <row r="60" spans="1:31" x14ac:dyDescent="0.3">
      <c r="A60" s="1096" t="s">
        <v>95</v>
      </c>
      <c r="B60" s="417">
        <v>375</v>
      </c>
      <c r="C60" s="604">
        <v>0</v>
      </c>
      <c r="D60" s="416">
        <f t="shared" si="32"/>
        <v>-375</v>
      </c>
      <c r="E60" s="1003">
        <f t="shared" si="46"/>
        <v>-1</v>
      </c>
      <c r="F60" s="171"/>
      <c r="G60" s="601">
        <v>375</v>
      </c>
      <c r="H60" s="604">
        <v>0</v>
      </c>
      <c r="I60" s="416">
        <f t="shared" si="34"/>
        <v>-375</v>
      </c>
      <c r="J60" s="195">
        <f t="shared" si="47"/>
        <v>-1</v>
      </c>
      <c r="K60" s="171"/>
      <c r="L60" s="417">
        <v>375</v>
      </c>
      <c r="M60" s="567">
        <v>1788.8</v>
      </c>
      <c r="N60" s="416">
        <f t="shared" si="44"/>
        <v>1413.8</v>
      </c>
      <c r="O60" s="196">
        <f t="shared" si="36"/>
        <v>3.7701333333333333</v>
      </c>
      <c r="P60" s="171"/>
      <c r="Q60" s="601">
        <v>375</v>
      </c>
      <c r="R60" s="604">
        <v>0</v>
      </c>
      <c r="S60" s="416">
        <f t="shared" si="37"/>
        <v>-375</v>
      </c>
      <c r="T60" s="1212">
        <f t="shared" si="38"/>
        <v>-1</v>
      </c>
      <c r="U60" s="783"/>
      <c r="V60" s="889">
        <f t="shared" si="39"/>
        <v>1500</v>
      </c>
      <c r="W60" s="891">
        <f t="shared" si="43"/>
        <v>1788.8</v>
      </c>
      <c r="X60" s="416">
        <f t="shared" si="40"/>
        <v>288.79999999999995</v>
      </c>
      <c r="Y60" s="901">
        <f t="shared" si="41"/>
        <v>0.19253333333333331</v>
      </c>
      <c r="Z60" s="169"/>
      <c r="AA60" s="414">
        <v>1500</v>
      </c>
      <c r="AB60" s="415">
        <f t="shared" si="45"/>
        <v>-288.79999999999995</v>
      </c>
      <c r="AC60" s="196">
        <f t="shared" si="42"/>
        <v>-0.19253333333333331</v>
      </c>
      <c r="AD60" s="171"/>
      <c r="AE60" s="1179"/>
    </row>
    <row r="61" spans="1:31" x14ac:dyDescent="0.3">
      <c r="A61" s="1096" t="s">
        <v>96</v>
      </c>
      <c r="B61" s="417">
        <v>2500</v>
      </c>
      <c r="C61" s="604">
        <v>938.13</v>
      </c>
      <c r="D61" s="416">
        <f t="shared" si="32"/>
        <v>-1561.87</v>
      </c>
      <c r="E61" s="1003">
        <f t="shared" si="46"/>
        <v>-0.62474799999999997</v>
      </c>
      <c r="F61" s="171"/>
      <c r="G61" s="601">
        <v>2500</v>
      </c>
      <c r="H61" s="604">
        <v>0</v>
      </c>
      <c r="I61" s="416">
        <f t="shared" si="34"/>
        <v>-2500</v>
      </c>
      <c r="J61" s="195">
        <f t="shared" si="47"/>
        <v>-1</v>
      </c>
      <c r="K61" s="171"/>
      <c r="L61" s="417">
        <v>2500</v>
      </c>
      <c r="M61" s="567">
        <v>1626.26</v>
      </c>
      <c r="N61" s="416">
        <f t="shared" si="44"/>
        <v>-873.74</v>
      </c>
      <c r="O61" s="196">
        <f t="shared" si="36"/>
        <v>-0.34949600000000003</v>
      </c>
      <c r="P61" s="171"/>
      <c r="Q61" s="601">
        <v>2500</v>
      </c>
      <c r="R61" s="602">
        <v>2832.73</v>
      </c>
      <c r="S61" s="416">
        <f t="shared" si="37"/>
        <v>332.73</v>
      </c>
      <c r="T61" s="1212">
        <f t="shared" si="38"/>
        <v>0.13309200000000002</v>
      </c>
      <c r="U61" s="783"/>
      <c r="V61" s="889">
        <f t="shared" si="39"/>
        <v>10000</v>
      </c>
      <c r="W61" s="891">
        <f t="shared" si="43"/>
        <v>5397.12</v>
      </c>
      <c r="X61" s="416">
        <f t="shared" si="40"/>
        <v>-4602.88</v>
      </c>
      <c r="Y61" s="901">
        <f t="shared" si="41"/>
        <v>-0.46028800000000003</v>
      </c>
      <c r="Z61" s="169"/>
      <c r="AA61" s="414">
        <v>10000</v>
      </c>
      <c r="AB61" s="415">
        <f t="shared" si="45"/>
        <v>4602.88</v>
      </c>
      <c r="AC61" s="196">
        <f t="shared" si="42"/>
        <v>0.46028800000000003</v>
      </c>
      <c r="AD61" s="171"/>
      <c r="AE61" s="1179"/>
    </row>
    <row r="62" spans="1:31" x14ac:dyDescent="0.3">
      <c r="A62" s="1096" t="s">
        <v>110</v>
      </c>
      <c r="B62" s="417">
        <v>2500</v>
      </c>
      <c r="C62" s="604">
        <v>4584.3</v>
      </c>
      <c r="D62" s="416">
        <f t="shared" si="32"/>
        <v>2084.3000000000002</v>
      </c>
      <c r="E62" s="1003">
        <f t="shared" si="46"/>
        <v>0.83372000000000013</v>
      </c>
      <c r="F62" s="171"/>
      <c r="G62" s="601">
        <v>2500</v>
      </c>
      <c r="H62" s="604">
        <v>0</v>
      </c>
      <c r="I62" s="416">
        <f t="shared" si="34"/>
        <v>-2500</v>
      </c>
      <c r="J62" s="195">
        <f t="shared" si="47"/>
        <v>-1</v>
      </c>
      <c r="K62" s="171"/>
      <c r="L62" s="417">
        <v>2500</v>
      </c>
      <c r="M62" s="567">
        <v>2026.9</v>
      </c>
      <c r="N62" s="416">
        <f t="shared" si="44"/>
        <v>-473.09999999999991</v>
      </c>
      <c r="O62" s="196">
        <f t="shared" si="36"/>
        <v>-0.18923999999999996</v>
      </c>
      <c r="P62" s="171"/>
      <c r="Q62" s="601">
        <v>2500</v>
      </c>
      <c r="R62" s="602">
        <v>847.81</v>
      </c>
      <c r="S62" s="416">
        <f t="shared" si="37"/>
        <v>-1652.19</v>
      </c>
      <c r="T62" s="1212">
        <f t="shared" si="38"/>
        <v>-0.66087600000000002</v>
      </c>
      <c r="U62" s="783"/>
      <c r="V62" s="889">
        <f t="shared" si="39"/>
        <v>10000</v>
      </c>
      <c r="W62" s="891">
        <f t="shared" si="43"/>
        <v>7459.01</v>
      </c>
      <c r="X62" s="416">
        <f t="shared" si="40"/>
        <v>-2540.9899999999998</v>
      </c>
      <c r="Y62" s="901">
        <f t="shared" si="41"/>
        <v>-0.25409899999999996</v>
      </c>
      <c r="Z62" s="169"/>
      <c r="AA62" s="414">
        <v>10000</v>
      </c>
      <c r="AB62" s="415">
        <f t="shared" si="45"/>
        <v>2540.9899999999998</v>
      </c>
      <c r="AC62" s="196">
        <f t="shared" si="42"/>
        <v>0.25409899999999996</v>
      </c>
      <c r="AD62" s="171"/>
      <c r="AE62" s="1179"/>
    </row>
    <row r="63" spans="1:31" x14ac:dyDescent="0.3">
      <c r="A63" s="1096" t="s">
        <v>124</v>
      </c>
      <c r="B63" s="417">
        <v>0</v>
      </c>
      <c r="C63" s="604">
        <v>0</v>
      </c>
      <c r="D63" s="416">
        <f t="shared" si="32"/>
        <v>0</v>
      </c>
      <c r="E63" s="1003" t="str">
        <f t="shared" si="46"/>
        <v>-</v>
      </c>
      <c r="F63" s="171"/>
      <c r="G63" s="601">
        <v>0</v>
      </c>
      <c r="H63" s="567">
        <v>1047.8</v>
      </c>
      <c r="I63" s="416">
        <f t="shared" si="34"/>
        <v>1047.8</v>
      </c>
      <c r="J63" s="195" t="str">
        <f t="shared" si="47"/>
        <v>-</v>
      </c>
      <c r="K63" s="171"/>
      <c r="L63" s="417">
        <v>0</v>
      </c>
      <c r="M63" s="604">
        <v>0</v>
      </c>
      <c r="N63" s="416">
        <f t="shared" si="44"/>
        <v>0</v>
      </c>
      <c r="O63" s="196" t="str">
        <f t="shared" si="36"/>
        <v>-</v>
      </c>
      <c r="P63" s="171"/>
      <c r="Q63" s="601">
        <v>0</v>
      </c>
      <c r="R63" s="602">
        <v>16511.73</v>
      </c>
      <c r="S63" s="416">
        <f t="shared" si="37"/>
        <v>16511.73</v>
      </c>
      <c r="T63" s="1212" t="str">
        <f t="shared" si="38"/>
        <v>-</v>
      </c>
      <c r="U63" s="783"/>
      <c r="V63" s="889">
        <f t="shared" si="39"/>
        <v>0</v>
      </c>
      <c r="W63" s="891">
        <f t="shared" si="43"/>
        <v>17559.53</v>
      </c>
      <c r="X63" s="416">
        <f t="shared" si="40"/>
        <v>17559.53</v>
      </c>
      <c r="Y63" s="901" t="str">
        <f t="shared" si="41"/>
        <v>-</v>
      </c>
      <c r="Z63" s="169"/>
      <c r="AA63" s="414">
        <v>0</v>
      </c>
      <c r="AB63" s="415">
        <f t="shared" si="45"/>
        <v>-17559.53</v>
      </c>
      <c r="AC63" s="196" t="str">
        <f t="shared" si="42"/>
        <v>-</v>
      </c>
      <c r="AD63" s="230"/>
      <c r="AE63" s="1179"/>
    </row>
    <row r="64" spans="1:31" x14ac:dyDescent="0.3">
      <c r="A64" s="1096" t="s">
        <v>123</v>
      </c>
      <c r="B64" s="417">
        <v>0</v>
      </c>
      <c r="C64" s="604">
        <v>0</v>
      </c>
      <c r="D64" s="416">
        <f t="shared" si="32"/>
        <v>0</v>
      </c>
      <c r="E64" s="1003" t="str">
        <f t="shared" si="46"/>
        <v>-</v>
      </c>
      <c r="F64" s="230"/>
      <c r="G64" s="601">
        <v>0</v>
      </c>
      <c r="H64" s="604">
        <v>0</v>
      </c>
      <c r="I64" s="416">
        <f t="shared" si="34"/>
        <v>0</v>
      </c>
      <c r="J64" s="195" t="str">
        <f t="shared" si="47"/>
        <v>-</v>
      </c>
      <c r="K64" s="230"/>
      <c r="L64" s="417">
        <v>0</v>
      </c>
      <c r="M64" s="604">
        <v>0</v>
      </c>
      <c r="N64" s="416">
        <f t="shared" si="44"/>
        <v>0</v>
      </c>
      <c r="O64" s="196" t="str">
        <f t="shared" si="36"/>
        <v>-</v>
      </c>
      <c r="P64" s="230"/>
      <c r="Q64" s="601">
        <v>0</v>
      </c>
      <c r="R64" s="604">
        <v>0</v>
      </c>
      <c r="S64" s="416">
        <f t="shared" si="37"/>
        <v>0</v>
      </c>
      <c r="T64" s="1212" t="str">
        <f t="shared" si="38"/>
        <v>-</v>
      </c>
      <c r="U64" s="785"/>
      <c r="V64" s="889">
        <f t="shared" si="39"/>
        <v>0</v>
      </c>
      <c r="W64" s="891">
        <f t="shared" si="43"/>
        <v>0</v>
      </c>
      <c r="X64" s="416">
        <f t="shared" si="40"/>
        <v>0</v>
      </c>
      <c r="Y64" s="901" t="str">
        <f t="shared" si="41"/>
        <v>-</v>
      </c>
      <c r="Z64" s="231"/>
      <c r="AA64" s="414">
        <v>0</v>
      </c>
      <c r="AB64" s="415">
        <f t="shared" si="45"/>
        <v>0</v>
      </c>
      <c r="AC64" s="196" t="str">
        <f t="shared" si="42"/>
        <v>-</v>
      </c>
      <c r="AD64" s="230"/>
      <c r="AE64" s="1178"/>
    </row>
    <row r="65" spans="1:31" x14ac:dyDescent="0.3">
      <c r="A65" s="1096" t="s">
        <v>122</v>
      </c>
      <c r="B65" s="417">
        <v>20000</v>
      </c>
      <c r="C65" s="604">
        <v>0</v>
      </c>
      <c r="D65" s="416">
        <f t="shared" si="32"/>
        <v>-20000</v>
      </c>
      <c r="E65" s="1003">
        <f t="shared" si="46"/>
        <v>-1</v>
      </c>
      <c r="F65" s="230"/>
      <c r="G65" s="601">
        <v>20000</v>
      </c>
      <c r="H65" s="567">
        <v>448.29</v>
      </c>
      <c r="I65" s="416">
        <f t="shared" si="34"/>
        <v>-19551.71</v>
      </c>
      <c r="J65" s="195">
        <f t="shared" si="47"/>
        <v>-0.9775855</v>
      </c>
      <c r="K65" s="230"/>
      <c r="L65" s="417">
        <v>20000</v>
      </c>
      <c r="M65" s="604">
        <v>0</v>
      </c>
      <c r="N65" s="416">
        <f t="shared" si="44"/>
        <v>-20000</v>
      </c>
      <c r="O65" s="196">
        <f>IF(ISERROR(N65/L65),"-",N65/L65)</f>
        <v>-1</v>
      </c>
      <c r="P65" s="230"/>
      <c r="Q65" s="601">
        <v>20000</v>
      </c>
      <c r="R65" s="604">
        <v>0</v>
      </c>
      <c r="S65" s="416">
        <f t="shared" si="37"/>
        <v>-20000</v>
      </c>
      <c r="T65" s="1212">
        <f t="shared" si="38"/>
        <v>-1</v>
      </c>
      <c r="U65" s="785"/>
      <c r="V65" s="889">
        <f t="shared" si="39"/>
        <v>80000</v>
      </c>
      <c r="W65" s="891">
        <f t="shared" si="43"/>
        <v>448.29</v>
      </c>
      <c r="X65" s="416">
        <f t="shared" si="40"/>
        <v>-79551.710000000006</v>
      </c>
      <c r="Y65" s="901">
        <f t="shared" si="41"/>
        <v>-0.99439637500000011</v>
      </c>
      <c r="Z65" s="231"/>
      <c r="AA65" s="1584">
        <v>80000</v>
      </c>
      <c r="AB65" s="415">
        <f t="shared" si="45"/>
        <v>79551.710000000006</v>
      </c>
      <c r="AC65" s="196">
        <f t="shared" si="42"/>
        <v>0.99439637500000011</v>
      </c>
      <c r="AD65" s="230"/>
      <c r="AE65" s="1179"/>
    </row>
    <row r="66" spans="1:31" x14ac:dyDescent="0.3">
      <c r="A66" s="1096" t="s">
        <v>114</v>
      </c>
      <c r="B66" s="417">
        <v>0</v>
      </c>
      <c r="C66" s="604">
        <v>0</v>
      </c>
      <c r="D66" s="416">
        <f t="shared" si="32"/>
        <v>0</v>
      </c>
      <c r="E66" s="1003" t="str">
        <f t="shared" si="46"/>
        <v>-</v>
      </c>
      <c r="F66" s="230"/>
      <c r="G66" s="601">
        <v>0</v>
      </c>
      <c r="H66" s="604">
        <v>0</v>
      </c>
      <c r="I66" s="416">
        <f t="shared" si="34"/>
        <v>0</v>
      </c>
      <c r="J66" s="195" t="str">
        <f t="shared" si="47"/>
        <v>-</v>
      </c>
      <c r="K66" s="230"/>
      <c r="L66" s="417">
        <v>0</v>
      </c>
      <c r="M66" s="604">
        <v>0</v>
      </c>
      <c r="N66" s="416">
        <f t="shared" si="44"/>
        <v>0</v>
      </c>
      <c r="O66" s="196" t="str">
        <f t="shared" si="36"/>
        <v>-</v>
      </c>
      <c r="P66" s="230"/>
      <c r="Q66" s="601">
        <v>0</v>
      </c>
      <c r="R66" s="604">
        <v>0</v>
      </c>
      <c r="S66" s="416">
        <f t="shared" si="37"/>
        <v>0</v>
      </c>
      <c r="T66" s="1212" t="str">
        <f t="shared" si="38"/>
        <v>-</v>
      </c>
      <c r="U66" s="785"/>
      <c r="V66" s="889">
        <f t="shared" si="39"/>
        <v>0</v>
      </c>
      <c r="W66" s="891">
        <f t="shared" si="43"/>
        <v>0</v>
      </c>
      <c r="X66" s="416">
        <f t="shared" si="40"/>
        <v>0</v>
      </c>
      <c r="Y66" s="901" t="str">
        <f t="shared" si="41"/>
        <v>-</v>
      </c>
      <c r="Z66" s="231"/>
      <c r="AA66" s="414">
        <v>0</v>
      </c>
      <c r="AB66" s="415">
        <f t="shared" si="45"/>
        <v>0</v>
      </c>
      <c r="AC66" s="196" t="str">
        <f t="shared" si="42"/>
        <v>-</v>
      </c>
      <c r="AD66" s="171"/>
      <c r="AE66" s="1178"/>
    </row>
    <row r="67" spans="1:31" x14ac:dyDescent="0.3">
      <c r="A67" s="1096" t="s">
        <v>115</v>
      </c>
      <c r="B67" s="417">
        <v>18500</v>
      </c>
      <c r="C67" s="1097">
        <v>20736.18</v>
      </c>
      <c r="D67" s="416">
        <f t="shared" si="32"/>
        <v>2236.1800000000003</v>
      </c>
      <c r="E67" s="1003">
        <f t="shared" si="46"/>
        <v>0.12087459459459461</v>
      </c>
      <c r="F67" s="171"/>
      <c r="G67" s="601">
        <v>18500</v>
      </c>
      <c r="H67" s="602">
        <v>7197.7899999999991</v>
      </c>
      <c r="I67" s="416">
        <f t="shared" si="34"/>
        <v>-11302.210000000001</v>
      </c>
      <c r="J67" s="195">
        <f t="shared" si="47"/>
        <v>-0.61093027027027036</v>
      </c>
      <c r="K67" s="171"/>
      <c r="L67" s="417">
        <v>18500</v>
      </c>
      <c r="M67" s="567">
        <v>5771.4</v>
      </c>
      <c r="N67" s="416">
        <f t="shared" si="44"/>
        <v>-12728.6</v>
      </c>
      <c r="O67" s="196">
        <f t="shared" si="36"/>
        <v>-0.68803243243243251</v>
      </c>
      <c r="P67" s="171"/>
      <c r="Q67" s="601">
        <v>18500</v>
      </c>
      <c r="R67" s="602">
        <v>17368.689999999999</v>
      </c>
      <c r="S67" s="416">
        <f t="shared" si="37"/>
        <v>-1131.3100000000013</v>
      </c>
      <c r="T67" s="1212">
        <f t="shared" si="38"/>
        <v>-6.1151891891891963E-2</v>
      </c>
      <c r="U67" s="783"/>
      <c r="V67" s="889">
        <f>SUM(B67+G67+L67+Q67)</f>
        <v>74000</v>
      </c>
      <c r="W67" s="891">
        <f t="shared" si="43"/>
        <v>51074.06</v>
      </c>
      <c r="X67" s="416">
        <f t="shared" si="40"/>
        <v>-22925.940000000002</v>
      </c>
      <c r="Y67" s="901">
        <f t="shared" si="41"/>
        <v>-0.30981000000000003</v>
      </c>
      <c r="Z67" s="169"/>
      <c r="AA67" s="1584">
        <v>74000</v>
      </c>
      <c r="AB67" s="415">
        <f t="shared" si="45"/>
        <v>22925.940000000002</v>
      </c>
      <c r="AC67" s="196">
        <f t="shared" si="42"/>
        <v>0.30981000000000003</v>
      </c>
      <c r="AD67" s="230"/>
      <c r="AE67" s="1178"/>
    </row>
    <row r="68" spans="1:31" x14ac:dyDescent="0.3">
      <c r="A68" s="1096" t="s">
        <v>121</v>
      </c>
      <c r="B68" s="417">
        <v>0</v>
      </c>
      <c r="C68" s="604">
        <v>0</v>
      </c>
      <c r="D68" s="416">
        <f t="shared" si="32"/>
        <v>0</v>
      </c>
      <c r="E68" s="1003" t="str">
        <f t="shared" si="46"/>
        <v>-</v>
      </c>
      <c r="F68" s="230"/>
      <c r="G68" s="601">
        <v>0</v>
      </c>
      <c r="H68" s="604">
        <v>0</v>
      </c>
      <c r="I68" s="416">
        <f t="shared" si="34"/>
        <v>0</v>
      </c>
      <c r="J68" s="195" t="str">
        <f t="shared" si="47"/>
        <v>-</v>
      </c>
      <c r="K68" s="230"/>
      <c r="L68" s="417">
        <v>0</v>
      </c>
      <c r="M68" s="604">
        <v>0</v>
      </c>
      <c r="N68" s="416">
        <f t="shared" si="44"/>
        <v>0</v>
      </c>
      <c r="O68" s="196" t="str">
        <f t="shared" si="36"/>
        <v>-</v>
      </c>
      <c r="P68" s="230"/>
      <c r="Q68" s="601">
        <v>0</v>
      </c>
      <c r="R68" s="604">
        <v>0</v>
      </c>
      <c r="S68" s="416">
        <f t="shared" si="37"/>
        <v>0</v>
      </c>
      <c r="T68" s="1212" t="str">
        <f t="shared" si="38"/>
        <v>-</v>
      </c>
      <c r="U68" s="785"/>
      <c r="V68" s="889">
        <f t="shared" si="39"/>
        <v>0</v>
      </c>
      <c r="W68" s="891">
        <f t="shared" si="43"/>
        <v>0</v>
      </c>
      <c r="X68" s="416">
        <f t="shared" si="40"/>
        <v>0</v>
      </c>
      <c r="Y68" s="901" t="str">
        <f t="shared" si="41"/>
        <v>-</v>
      </c>
      <c r="Z68" s="231"/>
      <c r="AA68" s="414">
        <v>0</v>
      </c>
      <c r="AB68" s="415">
        <f t="shared" si="45"/>
        <v>0</v>
      </c>
      <c r="AC68" s="196" t="str">
        <f t="shared" si="42"/>
        <v>-</v>
      </c>
      <c r="AD68" s="230"/>
      <c r="AE68" s="1179"/>
    </row>
    <row r="69" spans="1:31" x14ac:dyDescent="0.3">
      <c r="A69" s="1096" t="s">
        <v>97</v>
      </c>
      <c r="B69" s="417">
        <v>4500</v>
      </c>
      <c r="C69" s="604">
        <v>2295.7800000000002</v>
      </c>
      <c r="D69" s="416">
        <f t="shared" si="32"/>
        <v>-2204.2199999999998</v>
      </c>
      <c r="E69" s="1003">
        <f t="shared" si="46"/>
        <v>-0.48982666666666663</v>
      </c>
      <c r="F69" s="230"/>
      <c r="G69" s="601">
        <v>4500</v>
      </c>
      <c r="H69" s="602">
        <v>8150</v>
      </c>
      <c r="I69" s="416">
        <f t="shared" si="34"/>
        <v>3650</v>
      </c>
      <c r="J69" s="195">
        <f t="shared" si="47"/>
        <v>0.81111111111111112</v>
      </c>
      <c r="K69" s="230"/>
      <c r="L69" s="417">
        <v>4500</v>
      </c>
      <c r="M69" s="604">
        <v>0</v>
      </c>
      <c r="N69" s="416">
        <f t="shared" si="44"/>
        <v>-4500</v>
      </c>
      <c r="O69" s="196">
        <f t="shared" si="36"/>
        <v>-1</v>
      </c>
      <c r="P69" s="230"/>
      <c r="Q69" s="601">
        <v>4500</v>
      </c>
      <c r="R69" s="604">
        <v>0</v>
      </c>
      <c r="S69" s="416">
        <f t="shared" si="37"/>
        <v>-4500</v>
      </c>
      <c r="T69" s="1212">
        <f t="shared" si="38"/>
        <v>-1</v>
      </c>
      <c r="U69" s="785"/>
      <c r="V69" s="889">
        <f t="shared" si="39"/>
        <v>18000</v>
      </c>
      <c r="W69" s="891">
        <f t="shared" si="43"/>
        <v>10445.780000000001</v>
      </c>
      <c r="X69" s="416">
        <f t="shared" si="40"/>
        <v>-7554.2199999999993</v>
      </c>
      <c r="Y69" s="901">
        <f t="shared" si="41"/>
        <v>-0.41967888888888888</v>
      </c>
      <c r="Z69" s="231"/>
      <c r="AA69" s="1584">
        <v>18000</v>
      </c>
      <c r="AB69" s="415">
        <f t="shared" si="45"/>
        <v>7554.2199999999993</v>
      </c>
      <c r="AC69" s="196">
        <f>IF(ISERROR(AB69/AA69),"-",AB69/AA69)</f>
        <v>0.41967888888888888</v>
      </c>
      <c r="AD69" s="171"/>
      <c r="AE69" s="1179"/>
    </row>
    <row r="70" spans="1:31" x14ac:dyDescent="0.3">
      <c r="A70" s="1096" t="s">
        <v>98</v>
      </c>
      <c r="B70" s="417">
        <v>0</v>
      </c>
      <c r="C70" s="604">
        <v>0</v>
      </c>
      <c r="D70" s="416">
        <f t="shared" si="32"/>
        <v>0</v>
      </c>
      <c r="E70" s="1003" t="str">
        <f t="shared" si="46"/>
        <v>-</v>
      </c>
      <c r="F70" s="171"/>
      <c r="G70" s="601">
        <v>0</v>
      </c>
      <c r="H70" s="604">
        <v>0</v>
      </c>
      <c r="I70" s="416">
        <f t="shared" si="34"/>
        <v>0</v>
      </c>
      <c r="J70" s="195" t="str">
        <f t="shared" si="47"/>
        <v>-</v>
      </c>
      <c r="K70" s="171"/>
      <c r="L70" s="417">
        <v>0</v>
      </c>
      <c r="M70" s="604">
        <v>0</v>
      </c>
      <c r="N70" s="416">
        <f t="shared" si="44"/>
        <v>0</v>
      </c>
      <c r="O70" s="196" t="str">
        <f t="shared" si="36"/>
        <v>-</v>
      </c>
      <c r="P70" s="171"/>
      <c r="Q70" s="601">
        <v>0</v>
      </c>
      <c r="R70" s="604">
        <v>0</v>
      </c>
      <c r="S70" s="416">
        <f t="shared" si="37"/>
        <v>0</v>
      </c>
      <c r="T70" s="1212" t="str">
        <f t="shared" si="38"/>
        <v>-</v>
      </c>
      <c r="U70" s="783"/>
      <c r="V70" s="889">
        <f t="shared" si="39"/>
        <v>0</v>
      </c>
      <c r="W70" s="891">
        <f t="shared" si="43"/>
        <v>0</v>
      </c>
      <c r="X70" s="416">
        <f t="shared" si="40"/>
        <v>0</v>
      </c>
      <c r="Y70" s="901" t="str">
        <f t="shared" si="41"/>
        <v>-</v>
      </c>
      <c r="Z70" s="169"/>
      <c r="AA70" s="414">
        <v>0</v>
      </c>
      <c r="AB70" s="415">
        <f t="shared" si="45"/>
        <v>0</v>
      </c>
      <c r="AC70" s="196" t="str">
        <f t="shared" si="42"/>
        <v>-</v>
      </c>
      <c r="AD70" s="230"/>
      <c r="AE70" s="1179"/>
    </row>
    <row r="71" spans="1:31" x14ac:dyDescent="0.3">
      <c r="A71" s="1096" t="s">
        <v>116</v>
      </c>
      <c r="B71" s="417">
        <v>0</v>
      </c>
      <c r="C71" s="604">
        <v>0</v>
      </c>
      <c r="D71" s="416">
        <f t="shared" si="32"/>
        <v>0</v>
      </c>
      <c r="E71" s="1003" t="str">
        <f t="shared" si="46"/>
        <v>-</v>
      </c>
      <c r="F71" s="230"/>
      <c r="G71" s="601">
        <v>0</v>
      </c>
      <c r="H71" s="604">
        <v>0</v>
      </c>
      <c r="I71" s="416">
        <f t="shared" si="34"/>
        <v>0</v>
      </c>
      <c r="J71" s="195" t="str">
        <f t="shared" si="47"/>
        <v>-</v>
      </c>
      <c r="K71" s="230"/>
      <c r="L71" s="417">
        <v>0</v>
      </c>
      <c r="M71" s="604">
        <v>0</v>
      </c>
      <c r="N71" s="416">
        <f t="shared" si="44"/>
        <v>0</v>
      </c>
      <c r="O71" s="196" t="str">
        <f t="shared" si="36"/>
        <v>-</v>
      </c>
      <c r="P71" s="230"/>
      <c r="Q71" s="601">
        <v>0</v>
      </c>
      <c r="R71" s="604">
        <v>0</v>
      </c>
      <c r="S71" s="416">
        <f t="shared" si="37"/>
        <v>0</v>
      </c>
      <c r="T71" s="1212" t="str">
        <f t="shared" si="38"/>
        <v>-</v>
      </c>
      <c r="U71" s="785"/>
      <c r="V71" s="889">
        <f t="shared" si="39"/>
        <v>0</v>
      </c>
      <c r="W71" s="891">
        <f t="shared" si="43"/>
        <v>0</v>
      </c>
      <c r="X71" s="416">
        <f t="shared" si="40"/>
        <v>0</v>
      </c>
      <c r="Y71" s="901" t="str">
        <f t="shared" si="41"/>
        <v>-</v>
      </c>
      <c r="Z71" s="231"/>
      <c r="AA71" s="414">
        <v>0</v>
      </c>
      <c r="AB71" s="415">
        <f t="shared" si="45"/>
        <v>0</v>
      </c>
      <c r="AC71" s="196" t="str">
        <f t="shared" si="42"/>
        <v>-</v>
      </c>
      <c r="AD71" s="171"/>
      <c r="AE71" s="1179"/>
    </row>
    <row r="72" spans="1:31" x14ac:dyDescent="0.3">
      <c r="A72" s="1096" t="s">
        <v>99</v>
      </c>
      <c r="B72" s="417">
        <v>10000</v>
      </c>
      <c r="C72" s="604">
        <v>25214.95</v>
      </c>
      <c r="D72" s="416">
        <f t="shared" si="32"/>
        <v>15214.95</v>
      </c>
      <c r="E72" s="1003">
        <f t="shared" si="46"/>
        <v>1.521495</v>
      </c>
      <c r="F72" s="171"/>
      <c r="G72" s="601">
        <v>10000</v>
      </c>
      <c r="H72" s="602">
        <v>28829.68</v>
      </c>
      <c r="I72" s="416">
        <f t="shared" si="34"/>
        <v>18829.68</v>
      </c>
      <c r="J72" s="195">
        <f t="shared" si="47"/>
        <v>1.882968</v>
      </c>
      <c r="K72" s="171"/>
      <c r="L72" s="417">
        <v>10000</v>
      </c>
      <c r="M72" s="567">
        <v>38195.56</v>
      </c>
      <c r="N72" s="416">
        <f t="shared" si="44"/>
        <v>28195.559999999998</v>
      </c>
      <c r="O72" s="196">
        <f t="shared" si="36"/>
        <v>2.819556</v>
      </c>
      <c r="P72" s="171"/>
      <c r="Q72" s="601">
        <v>10000</v>
      </c>
      <c r="R72" s="602">
        <v>22919.39</v>
      </c>
      <c r="S72" s="416">
        <f t="shared" si="37"/>
        <v>12919.39</v>
      </c>
      <c r="T72" s="1212">
        <f t="shared" si="38"/>
        <v>1.2919389999999999</v>
      </c>
      <c r="U72" s="783"/>
      <c r="V72" s="889">
        <f t="shared" si="39"/>
        <v>40000</v>
      </c>
      <c r="W72" s="891">
        <f t="shared" si="43"/>
        <v>115159.58</v>
      </c>
      <c r="X72" s="416">
        <f t="shared" si="40"/>
        <v>75159.58</v>
      </c>
      <c r="Y72" s="901">
        <f t="shared" si="41"/>
        <v>1.8789895000000001</v>
      </c>
      <c r="Z72" s="169"/>
      <c r="AA72" s="1584">
        <v>40000</v>
      </c>
      <c r="AB72" s="415">
        <f t="shared" si="45"/>
        <v>-75159.58</v>
      </c>
      <c r="AC72" s="196">
        <f t="shared" si="42"/>
        <v>-1.8789895000000001</v>
      </c>
      <c r="AD72" s="230"/>
      <c r="AE72" s="1178"/>
    </row>
    <row r="73" spans="1:31" x14ac:dyDescent="0.3">
      <c r="A73" s="1096" t="s">
        <v>100</v>
      </c>
      <c r="B73" s="417">
        <v>0</v>
      </c>
      <c r="C73" s="604">
        <v>0</v>
      </c>
      <c r="D73" s="416">
        <f t="shared" si="32"/>
        <v>0</v>
      </c>
      <c r="E73" s="1003" t="str">
        <f t="shared" si="46"/>
        <v>-</v>
      </c>
      <c r="F73" s="230"/>
      <c r="G73" s="601">
        <v>0</v>
      </c>
      <c r="H73" s="604">
        <v>0</v>
      </c>
      <c r="I73" s="416">
        <f t="shared" si="34"/>
        <v>0</v>
      </c>
      <c r="J73" s="195" t="str">
        <f t="shared" si="47"/>
        <v>-</v>
      </c>
      <c r="K73" s="230"/>
      <c r="L73" s="417">
        <v>0</v>
      </c>
      <c r="M73" s="604">
        <v>0</v>
      </c>
      <c r="N73" s="416">
        <f t="shared" si="44"/>
        <v>0</v>
      </c>
      <c r="O73" s="196"/>
      <c r="P73" s="230"/>
      <c r="Q73" s="601">
        <v>0</v>
      </c>
      <c r="R73" s="604">
        <v>0</v>
      </c>
      <c r="S73" s="416">
        <f t="shared" si="37"/>
        <v>0</v>
      </c>
      <c r="T73" s="1212" t="str">
        <f t="shared" si="38"/>
        <v>-</v>
      </c>
      <c r="U73" s="785"/>
      <c r="V73" s="889">
        <f t="shared" si="39"/>
        <v>0</v>
      </c>
      <c r="W73" s="891">
        <f t="shared" si="43"/>
        <v>0</v>
      </c>
      <c r="X73" s="416">
        <f t="shared" si="40"/>
        <v>0</v>
      </c>
      <c r="Y73" s="901" t="str">
        <f t="shared" si="41"/>
        <v>-</v>
      </c>
      <c r="Z73" s="231"/>
      <c r="AA73" s="414">
        <v>0</v>
      </c>
      <c r="AB73" s="415">
        <f t="shared" si="45"/>
        <v>0</v>
      </c>
      <c r="AC73" s="196" t="str">
        <f t="shared" si="42"/>
        <v>-</v>
      </c>
      <c r="AD73" s="171"/>
      <c r="AE73" s="1178"/>
    </row>
    <row r="74" spans="1:31" x14ac:dyDescent="0.3">
      <c r="A74" s="1271" t="s">
        <v>101</v>
      </c>
      <c r="B74" s="417">
        <v>5000</v>
      </c>
      <c r="C74" s="604">
        <v>479.95</v>
      </c>
      <c r="D74" s="416">
        <f t="shared" si="32"/>
        <v>-4520.05</v>
      </c>
      <c r="E74" s="1003">
        <f t="shared" si="46"/>
        <v>-0.90401000000000009</v>
      </c>
      <c r="F74" s="171"/>
      <c r="G74" s="601">
        <v>5000</v>
      </c>
      <c r="H74" s="602">
        <v>1920.82</v>
      </c>
      <c r="I74" s="416">
        <f t="shared" si="34"/>
        <v>-3079.1800000000003</v>
      </c>
      <c r="J74" s="195">
        <f t="shared" si="47"/>
        <v>-0.61583600000000005</v>
      </c>
      <c r="K74" s="171"/>
      <c r="L74" s="417">
        <v>5000</v>
      </c>
      <c r="M74" s="604">
        <v>0</v>
      </c>
      <c r="N74" s="416">
        <f t="shared" si="44"/>
        <v>-5000</v>
      </c>
      <c r="O74" s="196">
        <f>IF(ISERROR(N74/L74),"-",N74/L74)</f>
        <v>-1</v>
      </c>
      <c r="P74" s="171"/>
      <c r="Q74" s="601">
        <v>5000</v>
      </c>
      <c r="R74" s="602">
        <v>8297.07</v>
      </c>
      <c r="S74" s="416">
        <f t="shared" si="37"/>
        <v>3297.0699999999997</v>
      </c>
      <c r="T74" s="1212">
        <f>IF(ISERROR(S74/Q74),"-",S74/Q74)</f>
        <v>0.65941399999999994</v>
      </c>
      <c r="U74" s="783"/>
      <c r="V74" s="889">
        <f t="shared" si="39"/>
        <v>20000</v>
      </c>
      <c r="W74" s="891">
        <f t="shared" si="43"/>
        <v>10697.84</v>
      </c>
      <c r="X74" s="416">
        <f t="shared" si="40"/>
        <v>-9302.16</v>
      </c>
      <c r="Y74" s="901">
        <f t="shared" si="41"/>
        <v>-0.46510799999999997</v>
      </c>
      <c r="Z74" s="169"/>
      <c r="AA74" s="1584">
        <v>20000</v>
      </c>
      <c r="AB74" s="415">
        <f t="shared" si="45"/>
        <v>9302.16</v>
      </c>
      <c r="AC74" s="196">
        <f t="shared" si="42"/>
        <v>0.46510799999999997</v>
      </c>
      <c r="AD74" s="171"/>
      <c r="AE74" s="1178"/>
    </row>
    <row r="75" spans="1:31" x14ac:dyDescent="0.3">
      <c r="A75" s="1272" t="s">
        <v>120</v>
      </c>
      <c r="B75" s="417">
        <v>0</v>
      </c>
      <c r="C75" s="604">
        <v>0</v>
      </c>
      <c r="D75" s="416">
        <f t="shared" si="32"/>
        <v>0</v>
      </c>
      <c r="E75" s="1003" t="str">
        <f t="shared" si="46"/>
        <v>-</v>
      </c>
      <c r="F75" s="171"/>
      <c r="G75" s="618">
        <v>0</v>
      </c>
      <c r="H75" s="567">
        <v>4637.96</v>
      </c>
      <c r="I75" s="416">
        <f t="shared" si="34"/>
        <v>4637.96</v>
      </c>
      <c r="J75" s="195" t="str">
        <f t="shared" si="47"/>
        <v>-</v>
      </c>
      <c r="K75" s="171"/>
      <c r="L75" s="998">
        <v>0</v>
      </c>
      <c r="M75" s="604">
        <v>0</v>
      </c>
      <c r="N75" s="416">
        <f t="shared" si="44"/>
        <v>0</v>
      </c>
      <c r="O75" s="196" t="str">
        <f>IF(ISERROR(N75/L75),"-",N75/L75)</f>
        <v>-</v>
      </c>
      <c r="P75" s="171"/>
      <c r="Q75" s="618">
        <v>0</v>
      </c>
      <c r="R75" s="604">
        <v>0</v>
      </c>
      <c r="S75" s="416">
        <f t="shared" si="37"/>
        <v>0</v>
      </c>
      <c r="T75" s="1212" t="str">
        <f>IF(ISERROR(S75/Q75),"-",S75/Q75)</f>
        <v>-</v>
      </c>
      <c r="U75" s="783"/>
      <c r="V75" s="889">
        <f t="shared" si="39"/>
        <v>0</v>
      </c>
      <c r="W75" s="891">
        <f t="shared" si="43"/>
        <v>4637.96</v>
      </c>
      <c r="X75" s="416">
        <f t="shared" si="40"/>
        <v>4637.96</v>
      </c>
      <c r="Y75" s="901" t="str">
        <f t="shared" si="41"/>
        <v>-</v>
      </c>
      <c r="Z75" s="169"/>
      <c r="AA75" s="414">
        <v>0</v>
      </c>
      <c r="AB75" s="415">
        <f t="shared" si="45"/>
        <v>-4637.96</v>
      </c>
      <c r="AC75" s="196" t="str">
        <f t="shared" si="42"/>
        <v>-</v>
      </c>
      <c r="AD75" s="178"/>
      <c r="AE75" s="1181"/>
    </row>
    <row r="76" spans="1:31" x14ac:dyDescent="0.3">
      <c r="A76" s="1265" t="s">
        <v>102</v>
      </c>
      <c r="B76" s="1006">
        <f>SUM(B43:B75)</f>
        <v>125575</v>
      </c>
      <c r="C76" s="1472">
        <f>SUM(C43:C75)</f>
        <v>90824.76999999999</v>
      </c>
      <c r="D76" s="1232">
        <f>SUM(D43:D75)</f>
        <v>-34750.229999999996</v>
      </c>
      <c r="E76" s="1303">
        <f t="shared" si="46"/>
        <v>-0.27672888711925142</v>
      </c>
      <c r="F76" s="178"/>
      <c r="G76" s="1006">
        <f>SUM(G43:G75)</f>
        <v>125575</v>
      </c>
      <c r="H76" s="565">
        <f>SUM(H43:H75)</f>
        <v>89837.010000000024</v>
      </c>
      <c r="I76" s="433">
        <f>SUM(I43:I75)</f>
        <v>-35737.989999999991</v>
      </c>
      <c r="J76" s="211">
        <f t="shared" si="47"/>
        <v>-0.28459478399362925</v>
      </c>
      <c r="K76" s="178"/>
      <c r="L76" s="432">
        <f>SUM(L43:L75)</f>
        <v>125575</v>
      </c>
      <c r="M76" s="433">
        <f>SUM(M43:M75)</f>
        <v>81115.34</v>
      </c>
      <c r="N76" s="433">
        <f>SUM(N43:N75)</f>
        <v>-44459.66</v>
      </c>
      <c r="O76" s="211">
        <f>IF(ISERROR(N76/L76),"-",N76/L76)</f>
        <v>-0.35404865618156484</v>
      </c>
      <c r="P76" s="178"/>
      <c r="Q76" s="432">
        <f>SUM(Q43:Q75)</f>
        <v>125575</v>
      </c>
      <c r="R76" s="433">
        <f>SUM(R43:R75)</f>
        <v>195849.40999999997</v>
      </c>
      <c r="S76" s="433">
        <f>SUM(S43:S75)</f>
        <v>70274.41</v>
      </c>
      <c r="T76" s="1219">
        <f>IF(ISERROR(S76/Q76),"-",S76/Q76)</f>
        <v>0.5596210232928529</v>
      </c>
      <c r="U76" s="784"/>
      <c r="V76" s="1046">
        <f>SUM(V44:V75)</f>
        <v>502300</v>
      </c>
      <c r="W76" s="1058">
        <f>SUM(W43:W75)</f>
        <v>457626.53000000009</v>
      </c>
      <c r="X76" s="1232">
        <f>SUM(X43:X75)</f>
        <v>-44673.470000000008</v>
      </c>
      <c r="Y76" s="1303">
        <f t="shared" si="41"/>
        <v>-8.8937826000398179E-2</v>
      </c>
      <c r="Z76" s="178"/>
      <c r="AA76" s="1046">
        <f>SUM(AA43:AA75)</f>
        <v>502300</v>
      </c>
      <c r="AB76" s="1305">
        <f>SUM(AB43:AB75)</f>
        <v>44673.470000000008</v>
      </c>
      <c r="AC76" s="1303">
        <f t="shared" si="42"/>
        <v>8.8937826000398179E-2</v>
      </c>
      <c r="AD76" s="160"/>
      <c r="AE76" s="1178"/>
    </row>
    <row r="77" spans="1:31" x14ac:dyDescent="0.3">
      <c r="A77" s="1273"/>
      <c r="B77" s="959"/>
      <c r="C77" s="1460"/>
      <c r="D77" s="1086"/>
      <c r="E77" s="1087"/>
      <c r="F77" s="160"/>
      <c r="G77" s="450"/>
      <c r="H77" s="451"/>
      <c r="I77" s="451"/>
      <c r="J77" s="256"/>
      <c r="K77" s="160"/>
      <c r="L77" s="448"/>
      <c r="M77" s="449"/>
      <c r="N77" s="449"/>
      <c r="O77" s="257"/>
      <c r="P77" s="160"/>
      <c r="Q77" s="450"/>
      <c r="R77" s="451"/>
      <c r="S77" s="451"/>
      <c r="T77" s="1220"/>
      <c r="U77" s="781"/>
      <c r="V77" s="1069"/>
      <c r="W77" s="1071"/>
      <c r="X77" s="1086"/>
      <c r="Y77" s="1088"/>
      <c r="Z77" s="160"/>
      <c r="AA77" s="752"/>
      <c r="AB77" s="1086"/>
      <c r="AC77" s="1088"/>
      <c r="AD77" s="230"/>
      <c r="AE77" s="1181"/>
    </row>
    <row r="78" spans="1:31" x14ac:dyDescent="0.3">
      <c r="A78" s="1464" t="s">
        <v>103</v>
      </c>
      <c r="B78" s="1006">
        <f>B41+B76</f>
        <v>258204</v>
      </c>
      <c r="C78" s="1472">
        <f>C41+C76+C77</f>
        <v>212470.38999999998</v>
      </c>
      <c r="D78" s="1232">
        <f>D41+D76+D77</f>
        <v>-45733.61</v>
      </c>
      <c r="E78" s="1303">
        <f>IF(ISERROR(D78/B78),"-",D78/B78)</f>
        <v>-0.17712200430667224</v>
      </c>
      <c r="F78" s="230"/>
      <c r="G78" s="432">
        <f>G41+G76+G77</f>
        <v>258204</v>
      </c>
      <c r="H78" s="754">
        <f>H41+H76+H77</f>
        <v>214443.16000000003</v>
      </c>
      <c r="I78" s="754">
        <f>I41+I76</f>
        <v>-43760.84</v>
      </c>
      <c r="J78" s="211">
        <f>IF(ISERROR(I78/G78),"-",I78/G78)</f>
        <v>-0.16948165016808414</v>
      </c>
      <c r="K78" s="230"/>
      <c r="L78" s="432">
        <f>L41+L76+L77</f>
        <v>258204</v>
      </c>
      <c r="M78" s="433">
        <f>M41+M76+M77</f>
        <v>200115.91999999998</v>
      </c>
      <c r="N78" s="433">
        <f>N41+N76+N77</f>
        <v>-58088.08</v>
      </c>
      <c r="O78" s="211">
        <f>IF(ISERROR(N78/L78),"-",N78/L78)</f>
        <v>-0.22496971386965345</v>
      </c>
      <c r="P78" s="230"/>
      <c r="Q78" s="432">
        <f>Q41+Q76+Q77</f>
        <v>258204</v>
      </c>
      <c r="R78" s="433">
        <f>R41+R76+R77</f>
        <v>327160.11</v>
      </c>
      <c r="S78" s="433">
        <f>S41+S76+S77</f>
        <v>68956.11</v>
      </c>
      <c r="T78" s="1219">
        <f>IF(ISERROR(S78/Q78),"-",S78/Q78)</f>
        <v>0.26706058000650651</v>
      </c>
      <c r="U78" s="785"/>
      <c r="V78" s="1046">
        <f>V41+V76+V77</f>
        <v>1032816</v>
      </c>
      <c r="W78" s="1058">
        <f>W41+W76+W77</f>
        <v>954189.58000000007</v>
      </c>
      <c r="X78" s="1232">
        <f>X41+X76+X77</f>
        <v>-78626.420000000042</v>
      </c>
      <c r="Y78" s="1303">
        <f>IF(ISERROR(X78/V78),"-",X78/V78)</f>
        <v>-7.6128197084475879E-2</v>
      </c>
      <c r="Z78" s="230"/>
      <c r="AA78" s="1046">
        <f>AA41+AA76+AA77</f>
        <v>1032811.56</v>
      </c>
      <c r="AB78" s="1232">
        <f>AB41+AB76+AB77</f>
        <v>78621.98000000004</v>
      </c>
      <c r="AC78" s="1303">
        <f>IF(ISERROR(AB78/AA78),"-",AB78/AA78)</f>
        <v>7.6124225410490215E-2</v>
      </c>
      <c r="AD78" s="160"/>
      <c r="AE78" s="1178"/>
    </row>
    <row r="79" spans="1:31" ht="33" customHeight="1" x14ac:dyDescent="0.3">
      <c r="A79" s="1588" t="s">
        <v>166</v>
      </c>
      <c r="B79" s="1567">
        <f>B25-B78</f>
        <v>-1</v>
      </c>
      <c r="C79" s="1471">
        <f>C25-C78</f>
        <v>45732.620000000024</v>
      </c>
      <c r="D79" s="1233">
        <f>D25-D78</f>
        <v>45733.62000000001</v>
      </c>
      <c r="E79" s="1085"/>
      <c r="F79" s="1312">
        <f>F25-F78</f>
        <v>0</v>
      </c>
      <c r="G79" s="1064">
        <f>G25-G78</f>
        <v>-1</v>
      </c>
      <c r="H79" s="1519">
        <f>H25-H78</f>
        <v>43759.849999999977</v>
      </c>
      <c r="I79" s="1519">
        <f>I25-I78</f>
        <v>43760.850000000006</v>
      </c>
      <c r="J79" s="1085"/>
      <c r="K79" s="1562">
        <f>K25-K78</f>
        <v>0</v>
      </c>
      <c r="L79" s="450">
        <f>L25-L78</f>
        <v>-1</v>
      </c>
      <c r="M79" s="450">
        <f>M25-M78</f>
        <v>72837.100000000035</v>
      </c>
      <c r="N79" s="450">
        <f>N25-N78</f>
        <v>72838.10000000002</v>
      </c>
      <c r="O79" s="718"/>
      <c r="P79" s="718">
        <f>P25-P78</f>
        <v>0</v>
      </c>
      <c r="Q79" s="450">
        <f>Q25-Q78</f>
        <v>-1</v>
      </c>
      <c r="R79" s="450">
        <f>R25-R78</f>
        <v>-51929.089999999967</v>
      </c>
      <c r="S79" s="450">
        <f>S25-S78</f>
        <v>-51928.089999999982</v>
      </c>
      <c r="T79" s="1572"/>
      <c r="U79" s="1014">
        <f>U25-U78</f>
        <v>0</v>
      </c>
      <c r="V79" s="1064">
        <f>V25-V78</f>
        <v>-4</v>
      </c>
      <c r="W79" s="1067">
        <f>W25-W78</f>
        <v>110400.47999999998</v>
      </c>
      <c r="X79" s="1233">
        <f>X25-X78</f>
        <v>110404.48000000004</v>
      </c>
      <c r="Y79" s="1304"/>
      <c r="Z79" s="1312">
        <f>Z25-Z78</f>
        <v>0</v>
      </c>
      <c r="AA79" s="1064">
        <f>AA25-AA78</f>
        <v>0.43999999994412065</v>
      </c>
      <c r="AB79" s="1233">
        <f>AB25-AB78</f>
        <v>-110400.04000000004</v>
      </c>
      <c r="AC79" s="1304"/>
      <c r="AD79" s="160"/>
      <c r="AE79" s="1178"/>
    </row>
    <row r="80" spans="1:31" x14ac:dyDescent="0.3">
      <c r="A80" s="1589" t="s">
        <v>167</v>
      </c>
      <c r="B80" s="959">
        <v>15000</v>
      </c>
      <c r="C80" s="1460"/>
      <c r="D80" s="1086">
        <f>C80-B80</f>
        <v>-15000</v>
      </c>
      <c r="E80" s="1087"/>
      <c r="F80" s="160"/>
      <c r="G80" s="1064">
        <v>15000</v>
      </c>
      <c r="H80" s="1519"/>
      <c r="I80" s="755">
        <f>H80-G80</f>
        <v>-15000</v>
      </c>
      <c r="J80" s="1085"/>
      <c r="K80" s="160"/>
      <c r="L80" s="448"/>
      <c r="M80" s="449"/>
      <c r="N80" s="449">
        <f>M80-L80</f>
        <v>0</v>
      </c>
      <c r="O80" s="257"/>
      <c r="P80" s="160"/>
      <c r="Q80" s="450"/>
      <c r="R80" s="451"/>
      <c r="S80" s="449">
        <f>R80-Q80</f>
        <v>0</v>
      </c>
      <c r="T80" s="1221"/>
      <c r="U80" s="781"/>
      <c r="V80" s="1069"/>
      <c r="W80" s="1071"/>
      <c r="X80" s="1086"/>
      <c r="Y80" s="1088"/>
      <c r="Z80" s="160"/>
      <c r="AA80" s="752">
        <v>60000</v>
      </c>
      <c r="AB80" s="1086"/>
      <c r="AC80" s="1088"/>
      <c r="AD80" s="160"/>
      <c r="AE80" s="1178"/>
    </row>
    <row r="81" spans="1:31" ht="25.5" customHeight="1" x14ac:dyDescent="0.3">
      <c r="A81" s="1588" t="s">
        <v>168</v>
      </c>
      <c r="B81" s="959">
        <f>B79-B80</f>
        <v>-15001</v>
      </c>
      <c r="C81" s="1460">
        <f t="shared" ref="C81:AC81" si="48">C79-C80</f>
        <v>45732.620000000024</v>
      </c>
      <c r="D81" s="1086">
        <f t="shared" si="48"/>
        <v>60733.62000000001</v>
      </c>
      <c r="E81" s="1087">
        <f>E79-E80</f>
        <v>0</v>
      </c>
      <c r="F81" s="1208">
        <f t="shared" si="48"/>
        <v>0</v>
      </c>
      <c r="G81" s="752">
        <f t="shared" si="48"/>
        <v>-15001</v>
      </c>
      <c r="H81" s="755">
        <f t="shared" si="48"/>
        <v>43759.849999999977</v>
      </c>
      <c r="I81" s="755">
        <f t="shared" si="48"/>
        <v>58760.850000000006</v>
      </c>
      <c r="J81" s="1087">
        <f>J79-J80</f>
        <v>0</v>
      </c>
      <c r="K81" s="756">
        <f t="shared" si="48"/>
        <v>0</v>
      </c>
      <c r="L81" s="448">
        <f t="shared" si="48"/>
        <v>-1</v>
      </c>
      <c r="M81" s="448">
        <f t="shared" si="48"/>
        <v>72837.100000000035</v>
      </c>
      <c r="N81" s="448">
        <f t="shared" si="48"/>
        <v>72838.10000000002</v>
      </c>
      <c r="O81" s="262">
        <f t="shared" si="48"/>
        <v>0</v>
      </c>
      <c r="P81" s="262">
        <f t="shared" si="48"/>
        <v>0</v>
      </c>
      <c r="Q81" s="448">
        <f t="shared" si="48"/>
        <v>-1</v>
      </c>
      <c r="R81" s="448">
        <f t="shared" si="48"/>
        <v>-51929.089999999967</v>
      </c>
      <c r="S81" s="448">
        <f t="shared" si="48"/>
        <v>-51928.089999999982</v>
      </c>
      <c r="T81" s="727">
        <f t="shared" si="48"/>
        <v>0</v>
      </c>
      <c r="U81" s="726">
        <f t="shared" si="48"/>
        <v>0</v>
      </c>
      <c r="V81" s="752">
        <f>V79-V80</f>
        <v>-4</v>
      </c>
      <c r="W81" s="1059">
        <f t="shared" si="48"/>
        <v>110400.47999999998</v>
      </c>
      <c r="X81" s="1086">
        <f t="shared" si="48"/>
        <v>110404.48000000004</v>
      </c>
      <c r="Y81" s="1088">
        <f t="shared" si="48"/>
        <v>0</v>
      </c>
      <c r="Z81" s="1208">
        <f t="shared" si="48"/>
        <v>0</v>
      </c>
      <c r="AA81" s="752">
        <f>AA79-AA80</f>
        <v>-59999.560000000056</v>
      </c>
      <c r="AB81" s="1086">
        <f>AB79-AB80</f>
        <v>-110400.04000000004</v>
      </c>
      <c r="AC81" s="1088">
        <f t="shared" si="48"/>
        <v>0</v>
      </c>
      <c r="AD81" s="230"/>
      <c r="AE81" s="1178"/>
    </row>
    <row r="82" spans="1:31" ht="29.25" customHeight="1" thickBot="1" x14ac:dyDescent="0.35">
      <c r="A82" s="1256" t="s">
        <v>104</v>
      </c>
      <c r="B82" s="1568"/>
      <c r="C82" s="604"/>
      <c r="D82" s="418">
        <f>B82-C82</f>
        <v>0</v>
      </c>
      <c r="E82" s="1003" t="str">
        <f>IF(ISERROR(D82/B82),"-",D82/B82)</f>
        <v>-</v>
      </c>
      <c r="F82" s="230"/>
      <c r="G82" s="1065"/>
      <c r="H82" s="1520"/>
      <c r="I82" s="1520">
        <f>G82-H82</f>
        <v>0</v>
      </c>
      <c r="J82" s="1017" t="str">
        <f>IF(ISERROR(I82/G82),"-",I82/G82)</f>
        <v>-</v>
      </c>
      <c r="K82" s="230"/>
      <c r="L82" s="414"/>
      <c r="M82" s="415"/>
      <c r="N82" s="415">
        <f>L82-M82</f>
        <v>0</v>
      </c>
      <c r="O82" s="266" t="str">
        <f>IF(ISERROR(N82/L82),"-",N82/L82)</f>
        <v>-</v>
      </c>
      <c r="P82" s="230"/>
      <c r="Q82" s="426"/>
      <c r="R82" s="427"/>
      <c r="S82" s="427">
        <f>Q82-R82</f>
        <v>0</v>
      </c>
      <c r="T82" s="1222" t="str">
        <f>IF(ISERROR(S82/Q82),"-",S82/Q82)</f>
        <v>-</v>
      </c>
      <c r="U82" s="785"/>
      <c r="V82" s="889">
        <f>B82+G82+L82+Q82</f>
        <v>0</v>
      </c>
      <c r="W82" s="966">
        <f>C82+H82+M82+R82</f>
        <v>0</v>
      </c>
      <c r="X82" s="416">
        <f>V82-W82</f>
        <v>0</v>
      </c>
      <c r="Y82" s="1328" t="str">
        <f>IF(ISERROR(X82/V82),"-",X82/V82)</f>
        <v>-</v>
      </c>
      <c r="Z82" s="230"/>
      <c r="AA82" s="1585"/>
      <c r="AB82" s="1586">
        <f>AA82-W82</f>
        <v>0</v>
      </c>
      <c r="AC82" s="1490" t="str">
        <f>IF(ISERROR(AB82/AA82),"-",AB82/AA82)</f>
        <v>-</v>
      </c>
      <c r="AE82" s="1178"/>
    </row>
    <row r="83" spans="1:31" ht="19.5" thickBot="1" x14ac:dyDescent="0.35">
      <c r="A83" s="1274" t="s">
        <v>105</v>
      </c>
      <c r="B83" s="1432">
        <f>B81-B82</f>
        <v>-15001</v>
      </c>
      <c r="C83" s="1316">
        <f>C81-C82</f>
        <v>45732.620000000024</v>
      </c>
      <c r="D83" s="1229">
        <f>C83-B83</f>
        <v>60733.620000000024</v>
      </c>
      <c r="E83" s="271">
        <f>IF(ISERROR(D83/B83),"-",D83/B83)</f>
        <v>-4.0486380907939488</v>
      </c>
      <c r="F83" s="1243"/>
      <c r="G83" s="1047">
        <f>G81-G82</f>
        <v>-15001</v>
      </c>
      <c r="H83" s="1315">
        <f>H81-H82</f>
        <v>43759.849999999977</v>
      </c>
      <c r="I83" s="1229">
        <f>H83-G83</f>
        <v>58760.849999999977</v>
      </c>
      <c r="J83" s="895">
        <f>IF(ISERROR(I83/G83),"-",I83/G83)</f>
        <v>-3.9171288580761265</v>
      </c>
      <c r="K83" s="1243"/>
      <c r="L83" s="454">
        <f>L81-L82</f>
        <v>-1</v>
      </c>
      <c r="M83" s="454">
        <f>M81-M82</f>
        <v>72837.100000000035</v>
      </c>
      <c r="N83" s="455">
        <f>M83-L83</f>
        <v>72838.100000000035</v>
      </c>
      <c r="O83" s="271">
        <f>IF(ISERROR(N83/L83),"-",N83/L83)</f>
        <v>-72838.100000000035</v>
      </c>
      <c r="P83" s="1243"/>
      <c r="Q83" s="454">
        <f>Q81-Q82</f>
        <v>-1</v>
      </c>
      <c r="R83" s="454">
        <f>R81-R82</f>
        <v>-51929.089999999967</v>
      </c>
      <c r="S83" s="455">
        <f>R83-Q83</f>
        <v>-51928.089999999967</v>
      </c>
      <c r="T83" s="1223">
        <f>IF(ISERROR(S83/Q83),"-",S83/Q83)</f>
        <v>51928.089999999967</v>
      </c>
      <c r="U83" s="799"/>
      <c r="V83" s="456">
        <f>V81-V82</f>
        <v>-4</v>
      </c>
      <c r="W83" s="1492">
        <f>W81-W82</f>
        <v>110400.47999999998</v>
      </c>
      <c r="X83" s="1316">
        <f>W83-V83</f>
        <v>110404.47999999998</v>
      </c>
      <c r="Y83" s="1580">
        <f>IF(ISERROR(X83/V83),"-",X83/V83)</f>
        <v>-27601.119999999995</v>
      </c>
      <c r="Z83" s="1243"/>
      <c r="AA83" s="1432">
        <f>AA81-AA82</f>
        <v>-59999.560000000056</v>
      </c>
      <c r="AB83" s="1587">
        <f>AB81-AB82</f>
        <v>-110400.04000000004</v>
      </c>
      <c r="AC83" s="1493">
        <f>IF(ISERROR(AB83/AA83),"-",AB83/AA83)</f>
        <v>1.8400141601038396</v>
      </c>
      <c r="AD83" s="1366"/>
      <c r="AE83" s="707"/>
    </row>
    <row r="84" spans="1:31" x14ac:dyDescent="0.3">
      <c r="B84" s="379"/>
      <c r="C84" s="379"/>
      <c r="D84" s="379"/>
      <c r="E84" s="276"/>
      <c r="Q84" s="379"/>
    </row>
    <row r="85" spans="1:31" x14ac:dyDescent="0.3">
      <c r="E85" s="276"/>
    </row>
  </sheetData>
  <sheetProtection algorithmName="SHA-512" hashValue="Wv338gtp2nsnKpG3efYtctIG4AL/bgAwyMs0xqhUt47EZi4K/8meiOHybPl3wIWDfq5QPB+Z873pZcpprNDImw==" saltValue="EYJKj/7u5nDMT8m0CFgOvg==" spinCount="100000" sheet="1" objects="1" scenarios="1"/>
  <mergeCells count="21">
    <mergeCell ref="A8:H8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  <mergeCell ref="A7:H7"/>
    <mergeCell ref="A1:H1"/>
    <mergeCell ref="A3:H3"/>
    <mergeCell ref="A4:H4"/>
    <mergeCell ref="A5:H5"/>
    <mergeCell ref="A6:H6"/>
    <mergeCell ref="A2:H2"/>
  </mergeCells>
  <conditionalFormatting sqref="E56">
    <cfRule type="cellIs" dxfId="1" priority="1" stopIfTrue="1" operator="equal">
      <formula>""""""</formula>
    </cfRule>
  </conditionalFormatting>
  <pageMargins left="0.7" right="0.7" top="0.75" bottom="0.75" header="0.3" footer="0.3"/>
  <pageSetup paperSize="17" scale="5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G83"/>
  <sheetViews>
    <sheetView view="pageBreakPreview" zoomScale="60" zoomScaleNormal="80" workbookViewId="0">
      <pane xSplit="1" topLeftCell="B1" activePane="topRight" state="frozen"/>
      <selection activeCell="A42" sqref="A42"/>
      <selection pane="topRight" activeCell="G14" sqref="G14:H14"/>
    </sheetView>
  </sheetViews>
  <sheetFormatPr defaultRowHeight="18.75" x14ac:dyDescent="0.3"/>
  <cols>
    <col min="1" max="1" width="53.42578125" style="46" customWidth="1"/>
    <col min="2" max="3" width="14.140625" style="44" customWidth="1"/>
    <col min="4" max="4" width="13.140625" style="44" customWidth="1"/>
    <col min="5" max="5" width="13.5703125" style="276" customWidth="1"/>
    <col min="6" max="6" width="1" style="46" customWidth="1"/>
    <col min="7" max="7" width="14.5703125" style="44" customWidth="1"/>
    <col min="8" max="8" width="14.28515625" style="44" customWidth="1"/>
    <col min="9" max="9" width="12.140625" style="44" customWidth="1"/>
    <col min="10" max="10" width="17.42578125" style="276" customWidth="1"/>
    <col min="11" max="11" width="1.140625" style="46" customWidth="1"/>
    <col min="12" max="12" width="14" style="44" customWidth="1"/>
    <col min="13" max="13" width="14.140625" style="44" customWidth="1"/>
    <col min="14" max="14" width="12.85546875" style="44" customWidth="1"/>
    <col min="15" max="15" width="13.42578125" style="277" customWidth="1"/>
    <col min="16" max="16" width="1" style="46" customWidth="1"/>
    <col min="17" max="17" width="13.85546875" style="44" customWidth="1"/>
    <col min="18" max="18" width="13.140625" style="44" customWidth="1"/>
    <col min="19" max="19" width="12.85546875" style="44" customWidth="1"/>
    <col min="20" max="20" width="9.85546875" style="277" customWidth="1"/>
    <col min="21" max="21" width="1.28515625" style="46" customWidth="1"/>
    <col min="22" max="22" width="14.28515625" style="44" customWidth="1"/>
    <col min="23" max="23" width="14.140625" style="44" customWidth="1"/>
    <col min="24" max="24" width="13" style="44" customWidth="1"/>
    <col min="25" max="25" width="12" style="277" customWidth="1"/>
    <col min="26" max="26" width="1" style="46" customWidth="1"/>
    <col min="27" max="27" width="16.28515625" style="44" customWidth="1"/>
    <col min="28" max="28" width="13.7109375" style="44" customWidth="1"/>
    <col min="29" max="29" width="12.2851562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1749" t="s">
        <v>49</v>
      </c>
      <c r="B1" s="1750"/>
      <c r="C1" s="1750"/>
      <c r="D1" s="1750"/>
      <c r="E1" s="1750"/>
      <c r="F1" s="1750"/>
      <c r="G1" s="1750"/>
      <c r="H1" s="1750"/>
      <c r="I1" s="83"/>
      <c r="J1" s="84"/>
      <c r="K1" s="85"/>
      <c r="L1" s="86"/>
      <c r="M1" s="86"/>
      <c r="N1" s="86"/>
      <c r="O1" s="87"/>
      <c r="P1" s="116"/>
      <c r="Q1" s="83"/>
      <c r="R1" s="88"/>
      <c r="S1" s="117"/>
      <c r="T1" s="89"/>
      <c r="U1" s="116"/>
      <c r="V1" s="118"/>
      <c r="W1" s="118"/>
      <c r="X1" s="118"/>
      <c r="Y1" s="119"/>
      <c r="Z1" s="116"/>
      <c r="AA1" s="118"/>
      <c r="AB1" s="118"/>
      <c r="AC1" s="119"/>
      <c r="AD1" s="116"/>
      <c r="AE1" s="120"/>
    </row>
    <row r="2" spans="1:31" x14ac:dyDescent="0.3">
      <c r="A2" s="121"/>
      <c r="B2" s="90"/>
      <c r="C2" s="90"/>
      <c r="D2" s="90"/>
      <c r="E2" s="91"/>
      <c r="F2" s="92"/>
      <c r="G2" s="90"/>
      <c r="H2" s="90"/>
      <c r="I2" s="90"/>
      <c r="J2" s="91"/>
      <c r="K2" s="93"/>
      <c r="L2" s="43"/>
      <c r="M2" s="43"/>
      <c r="N2" s="43"/>
      <c r="O2" s="94"/>
      <c r="P2" s="93"/>
      <c r="Q2" s="90"/>
      <c r="R2" s="95"/>
      <c r="S2" s="122"/>
      <c r="T2" s="96"/>
      <c r="U2" s="93"/>
      <c r="V2" s="123"/>
      <c r="W2" s="123"/>
      <c r="X2" s="123"/>
      <c r="Y2" s="124"/>
      <c r="Z2" s="93"/>
      <c r="AA2" s="123"/>
      <c r="AB2" s="123"/>
      <c r="AC2" s="124"/>
      <c r="AD2" s="93"/>
      <c r="AE2" s="125"/>
    </row>
    <row r="3" spans="1:31" s="49" customFormat="1" x14ac:dyDescent="0.3">
      <c r="A3" s="1751" t="s">
        <v>174</v>
      </c>
      <c r="B3" s="1752"/>
      <c r="C3" s="1752"/>
      <c r="D3" s="1752"/>
      <c r="E3" s="1752"/>
      <c r="F3" s="1752"/>
      <c r="G3" s="1752"/>
      <c r="H3" s="1752"/>
      <c r="I3" s="97"/>
      <c r="J3" s="98"/>
      <c r="K3" s="99"/>
      <c r="L3" s="100"/>
      <c r="M3" s="100"/>
      <c r="N3" s="100"/>
      <c r="O3" s="101"/>
      <c r="P3" s="126"/>
      <c r="Q3" s="97"/>
      <c r="R3" s="102"/>
      <c r="S3" s="114"/>
      <c r="T3" s="103"/>
      <c r="U3" s="126"/>
      <c r="V3" s="127"/>
      <c r="W3" s="127"/>
      <c r="X3" s="127"/>
      <c r="Y3" s="128"/>
      <c r="Z3" s="126"/>
      <c r="AA3" s="127"/>
      <c r="AB3" s="127"/>
      <c r="AC3" s="128"/>
      <c r="AD3" s="126"/>
      <c r="AE3" s="129"/>
    </row>
    <row r="4" spans="1:31" x14ac:dyDescent="0.3">
      <c r="A4" s="1753" t="s">
        <v>51</v>
      </c>
      <c r="B4" s="1754"/>
      <c r="C4" s="1754"/>
      <c r="D4" s="1754"/>
      <c r="E4" s="1754"/>
      <c r="F4" s="1754"/>
      <c r="G4" s="1754"/>
      <c r="H4" s="1754"/>
      <c r="I4" s="90"/>
      <c r="J4" s="91"/>
      <c r="K4" s="104"/>
      <c r="L4" s="105"/>
      <c r="M4" s="105"/>
      <c r="N4" s="105"/>
      <c r="O4" s="106"/>
      <c r="P4" s="130"/>
      <c r="Q4" s="107"/>
      <c r="R4" s="108"/>
      <c r="S4" s="122"/>
      <c r="T4" s="109"/>
      <c r="U4" s="130"/>
      <c r="V4" s="123"/>
      <c r="W4" s="123"/>
      <c r="X4" s="123"/>
      <c r="Y4" s="124"/>
      <c r="Z4" s="130"/>
      <c r="AA4" s="123"/>
      <c r="AB4" s="123"/>
      <c r="AC4" s="124"/>
      <c r="AD4" s="130"/>
      <c r="AE4" s="125"/>
    </row>
    <row r="5" spans="1:31" x14ac:dyDescent="0.3">
      <c r="A5" s="1753" t="s">
        <v>52</v>
      </c>
      <c r="B5" s="1755"/>
      <c r="C5" s="1755"/>
      <c r="D5" s="1755"/>
      <c r="E5" s="1755"/>
      <c r="F5" s="1755"/>
      <c r="G5" s="1755"/>
      <c r="H5" s="1755"/>
      <c r="I5" s="90"/>
      <c r="J5" s="91"/>
      <c r="K5" s="104"/>
      <c r="L5" s="105"/>
      <c r="M5" s="105"/>
      <c r="N5" s="105"/>
      <c r="O5" s="106"/>
      <c r="P5" s="130"/>
      <c r="Q5" s="107"/>
      <c r="R5" s="108"/>
      <c r="S5" s="122"/>
      <c r="T5" s="109"/>
      <c r="U5" s="130"/>
      <c r="V5" s="123"/>
      <c r="W5" s="123"/>
      <c r="X5" s="123"/>
      <c r="Y5" s="124"/>
      <c r="Z5" s="130"/>
      <c r="AA5" s="123"/>
      <c r="AB5" s="123"/>
      <c r="AC5" s="124"/>
      <c r="AD5" s="130"/>
      <c r="AE5" s="125"/>
    </row>
    <row r="6" spans="1:31" s="49" customFormat="1" x14ac:dyDescent="0.3">
      <c r="A6" s="1747" t="s">
        <v>191</v>
      </c>
      <c r="B6" s="1756"/>
      <c r="C6" s="1756"/>
      <c r="D6" s="1756"/>
      <c r="E6" s="1756"/>
      <c r="F6" s="1756"/>
      <c r="G6" s="1756"/>
      <c r="H6" s="1756"/>
      <c r="I6" s="97"/>
      <c r="J6" s="98"/>
      <c r="K6" s="110"/>
      <c r="L6" s="111"/>
      <c r="M6" s="111"/>
      <c r="N6" s="111"/>
      <c r="O6" s="112"/>
      <c r="P6" s="126"/>
      <c r="Q6" s="113"/>
      <c r="R6" s="114"/>
      <c r="S6" s="114"/>
      <c r="T6" s="115"/>
      <c r="U6" s="126"/>
      <c r="V6" s="127"/>
      <c r="W6" s="127"/>
      <c r="X6" s="127"/>
      <c r="Y6" s="128"/>
      <c r="Z6" s="126"/>
      <c r="AA6" s="100"/>
      <c r="AB6" s="100"/>
      <c r="AC6" s="128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97"/>
      <c r="J7" s="98"/>
      <c r="K7" s="110"/>
      <c r="L7" s="111"/>
      <c r="M7" s="111"/>
      <c r="N7" s="111"/>
      <c r="O7" s="112"/>
      <c r="P7" s="126"/>
      <c r="Q7" s="113"/>
      <c r="R7" s="114"/>
      <c r="S7" s="114"/>
      <c r="T7" s="115"/>
      <c r="U7" s="126"/>
      <c r="V7" s="127"/>
      <c r="W7" s="127"/>
      <c r="X7" s="127"/>
      <c r="Y7" s="128"/>
      <c r="Z7" s="126"/>
      <c r="AA7" s="127"/>
      <c r="AB7" s="127"/>
      <c r="AC7" s="128"/>
      <c r="AD7" s="126"/>
      <c r="AE7" s="129"/>
    </row>
    <row r="8" spans="1:31" ht="19.5" thickBot="1" x14ac:dyDescent="0.35">
      <c r="A8" s="131" t="s">
        <v>169</v>
      </c>
      <c r="B8" s="132"/>
      <c r="C8" s="123"/>
      <c r="D8" s="123"/>
      <c r="E8" s="133"/>
      <c r="F8" s="134"/>
      <c r="G8" s="123"/>
      <c r="H8" s="123"/>
      <c r="I8" s="123"/>
      <c r="J8" s="133"/>
      <c r="K8" s="134"/>
      <c r="L8" s="123"/>
      <c r="M8" s="123"/>
      <c r="N8" s="123"/>
      <c r="O8" s="124"/>
      <c r="P8" s="134"/>
      <c r="Q8" s="123"/>
      <c r="R8" s="123"/>
      <c r="S8" s="123"/>
      <c r="T8" s="124"/>
      <c r="U8" s="130"/>
      <c r="V8" s="123"/>
      <c r="W8" s="123"/>
      <c r="X8" s="123"/>
      <c r="Y8" s="124"/>
      <c r="Z8" s="134"/>
      <c r="AA8" s="123"/>
      <c r="AB8" s="123"/>
      <c r="AC8" s="124"/>
      <c r="AD8" s="134"/>
      <c r="AE8" s="125"/>
    </row>
    <row r="9" spans="1:31" x14ac:dyDescent="0.3">
      <c r="A9" s="135"/>
      <c r="B9" s="1720" t="s">
        <v>53</v>
      </c>
      <c r="C9" s="1717"/>
      <c r="D9" s="1718"/>
      <c r="E9" s="1719"/>
      <c r="F9" s="136"/>
      <c r="G9" s="1720" t="s">
        <v>54</v>
      </c>
      <c r="H9" s="1717"/>
      <c r="I9" s="1717"/>
      <c r="J9" s="1721"/>
      <c r="K9" s="136"/>
      <c r="L9" s="1741" t="s">
        <v>55</v>
      </c>
      <c r="M9" s="1742"/>
      <c r="N9" s="1742"/>
      <c r="O9" s="1743"/>
      <c r="P9" s="136"/>
      <c r="Q9" s="1725" t="s">
        <v>56</v>
      </c>
      <c r="R9" s="1744"/>
      <c r="S9" s="1744"/>
      <c r="T9" s="1744"/>
      <c r="U9" s="794"/>
      <c r="V9" s="1745" t="s">
        <v>57</v>
      </c>
      <c r="W9" s="1727"/>
      <c r="X9" s="1727"/>
      <c r="Y9" s="1746"/>
      <c r="Z9" s="136"/>
      <c r="AA9" s="1745" t="s">
        <v>190</v>
      </c>
      <c r="AB9" s="1727"/>
      <c r="AC9" s="1746"/>
      <c r="AD9" s="136"/>
      <c r="AE9" s="1738" t="s">
        <v>58</v>
      </c>
    </row>
    <row r="10" spans="1:31" ht="37.5" customHeight="1" x14ac:dyDescent="0.3">
      <c r="A10" s="137" t="s">
        <v>59</v>
      </c>
      <c r="B10" s="1204" t="s">
        <v>60</v>
      </c>
      <c r="C10" s="138" t="s">
        <v>61</v>
      </c>
      <c r="D10" s="1710" t="s">
        <v>62</v>
      </c>
      <c r="E10" s="1711"/>
      <c r="F10" s="139"/>
      <c r="G10" s="1204" t="s">
        <v>60</v>
      </c>
      <c r="H10" s="138" t="s">
        <v>61</v>
      </c>
      <c r="I10" s="1712" t="s">
        <v>62</v>
      </c>
      <c r="J10" s="1713"/>
      <c r="K10" s="139"/>
      <c r="L10" s="138" t="s">
        <v>60</v>
      </c>
      <c r="M10" s="138" t="s">
        <v>61</v>
      </c>
      <c r="N10" s="1712" t="s">
        <v>62</v>
      </c>
      <c r="O10" s="1740"/>
      <c r="P10" s="139"/>
      <c r="Q10" s="140" t="s">
        <v>60</v>
      </c>
      <c r="R10" s="141" t="s">
        <v>61</v>
      </c>
      <c r="S10" s="1714" t="s">
        <v>62</v>
      </c>
      <c r="T10" s="1710"/>
      <c r="U10" s="795"/>
      <c r="V10" s="140" t="s">
        <v>60</v>
      </c>
      <c r="W10" s="141" t="s">
        <v>61</v>
      </c>
      <c r="X10" s="1714" t="s">
        <v>62</v>
      </c>
      <c r="Y10" s="1711"/>
      <c r="Z10" s="139"/>
      <c r="AA10" s="142" t="s">
        <v>63</v>
      </c>
      <c r="AB10" s="1714" t="s">
        <v>64</v>
      </c>
      <c r="AC10" s="1711"/>
      <c r="AD10" s="139"/>
      <c r="AE10" s="1739"/>
    </row>
    <row r="11" spans="1:31" x14ac:dyDescent="0.3">
      <c r="A11" s="143"/>
      <c r="B11" s="1205" t="s">
        <v>107</v>
      </c>
      <c r="C11" s="144" t="s">
        <v>107</v>
      </c>
      <c r="D11" s="1206" t="s">
        <v>107</v>
      </c>
      <c r="E11" s="145" t="s">
        <v>65</v>
      </c>
      <c r="F11" s="146"/>
      <c r="G11" s="1205" t="s">
        <v>107</v>
      </c>
      <c r="H11" s="144" t="s">
        <v>107</v>
      </c>
      <c r="I11" s="147" t="s">
        <v>107</v>
      </c>
      <c r="J11" s="145" t="s">
        <v>65</v>
      </c>
      <c r="K11" s="146"/>
      <c r="L11" s="144" t="s">
        <v>107</v>
      </c>
      <c r="M11" s="144" t="s">
        <v>107</v>
      </c>
      <c r="N11" s="147" t="s">
        <v>107</v>
      </c>
      <c r="O11" s="148" t="s">
        <v>65</v>
      </c>
      <c r="P11" s="146"/>
      <c r="Q11" s="149" t="s">
        <v>107</v>
      </c>
      <c r="R11" s="150" t="s">
        <v>107</v>
      </c>
      <c r="S11" s="151" t="s">
        <v>107</v>
      </c>
      <c r="T11" s="1209" t="s">
        <v>65</v>
      </c>
      <c r="U11" s="796"/>
      <c r="V11" s="149" t="s">
        <v>107</v>
      </c>
      <c r="W11" s="150" t="s">
        <v>107</v>
      </c>
      <c r="X11" s="151" t="s">
        <v>107</v>
      </c>
      <c r="Y11" s="152" t="s">
        <v>65</v>
      </c>
      <c r="Z11" s="146"/>
      <c r="AA11" s="149" t="s">
        <v>107</v>
      </c>
      <c r="AB11" s="151" t="s">
        <v>107</v>
      </c>
      <c r="AC11" s="152" t="s">
        <v>65</v>
      </c>
      <c r="AD11" s="146"/>
      <c r="AE11" s="1739"/>
    </row>
    <row r="12" spans="1:31" x14ac:dyDescent="0.3">
      <c r="A12" s="153"/>
      <c r="B12" s="1207"/>
      <c r="C12" s="154"/>
      <c r="D12" s="155"/>
      <c r="E12" s="919"/>
      <c r="F12" s="156"/>
      <c r="G12" s="1207"/>
      <c r="H12" s="154"/>
      <c r="I12" s="155"/>
      <c r="J12" s="919"/>
      <c r="K12" s="156"/>
      <c r="L12" s="154"/>
      <c r="M12" s="154"/>
      <c r="N12" s="155"/>
      <c r="O12" s="157"/>
      <c r="P12" s="156"/>
      <c r="Q12" s="155"/>
      <c r="R12" s="155"/>
      <c r="S12" s="155"/>
      <c r="T12" s="764"/>
      <c r="U12" s="962"/>
      <c r="V12" s="1224"/>
      <c r="W12" s="155"/>
      <c r="X12" s="155"/>
      <c r="Y12" s="729"/>
      <c r="Z12" s="156"/>
      <c r="AA12" s="1224"/>
      <c r="AB12" s="155"/>
      <c r="AC12" s="729"/>
      <c r="AD12" s="156"/>
      <c r="AE12" s="1175"/>
    </row>
    <row r="13" spans="1:31" x14ac:dyDescent="0.3">
      <c r="A13" s="158" t="s">
        <v>66</v>
      </c>
      <c r="B13" s="162"/>
      <c r="C13" s="159"/>
      <c r="D13" s="159"/>
      <c r="E13" s="925"/>
      <c r="F13" s="160"/>
      <c r="G13" s="162"/>
      <c r="H13" s="159"/>
      <c r="I13" s="159"/>
      <c r="J13" s="925"/>
      <c r="K13" s="160"/>
      <c r="L13" s="159"/>
      <c r="M13" s="159"/>
      <c r="N13" s="159"/>
      <c r="O13" s="161"/>
      <c r="P13" s="160"/>
      <c r="Q13" s="159"/>
      <c r="R13" s="159"/>
      <c r="S13" s="159"/>
      <c r="T13" s="765"/>
      <c r="U13" s="781"/>
      <c r="V13" s="162"/>
      <c r="W13" s="159"/>
      <c r="X13" s="159"/>
      <c r="Y13" s="730"/>
      <c r="Z13" s="163"/>
      <c r="AA13" s="162"/>
      <c r="AB13" s="159"/>
      <c r="AC13" s="730"/>
      <c r="AD13" s="160"/>
      <c r="AE13" s="1176"/>
    </row>
    <row r="14" spans="1:31" x14ac:dyDescent="0.3">
      <c r="A14" s="164" t="s">
        <v>132</v>
      </c>
      <c r="B14" s="168">
        <f>'ADB Inc. Statement'!B14+'ATB Inc. Statement'!B14+'AASPA Inc. Statement'!B14+'ACC Inc Statement'!B14+'ANT Inc Statement'!B14+'PSPF Inc. Statement'!B14+'AFSC Inc. Statement'!B14+'PUC Inc. Statement'!B14+'ASSB Inc. Statement'!B14</f>
        <v>9010193.9081999976</v>
      </c>
      <c r="C14" s="165">
        <f>'ADB Inc. Statement'!C14+'ANT Inc Statement'!C14+'ACC Inc Statement'!C14+'PUC Inc. Statement'!C14+'AASPA Inc. Statement'!C14+'AFSC Inc. Statement'!C14+'PSPF Inc. Statement'!C14+'ATB Inc. Statement'!C14+'ASSB Inc. Statement'!C14</f>
        <v>9655823.7666739952</v>
      </c>
      <c r="D14" s="165">
        <f>C14-B14</f>
        <v>645629.85847399756</v>
      </c>
      <c r="E14" s="926">
        <f t="shared" ref="E14:E25" si="0">IF(ISERROR(D14/B14),"-",D14/B14)</f>
        <v>7.1655489887561985E-2</v>
      </c>
      <c r="F14" s="166"/>
      <c r="G14" s="168">
        <f>'ADB Inc. Statement'!G14+'ANT Inc Statement'!G14+'ACC Inc Statement'!G14+'PUC Inc. Statement'!G15+'AASPA Inc. Statement'!G14+'AFSC Inc. Statement'!G14+'PSPF Inc. Statement'!G14+'ATB Inc. Statement'!G14+'ASSB Inc. Statement'!G14</f>
        <v>6319640.6828078413</v>
      </c>
      <c r="H14" s="165">
        <f>'ADB Inc. Statement'!H14+'ANT Inc Statement'!H14+'ACC Inc Statement'!H14+'PUC Inc. Statement'!H15+'AASPA Inc. Statement'!H14+'AFSC Inc. Statement'!H14+'PSPF Inc. Statement'!H14+'ATB Inc. Statement'!H14+'ASSB Inc. Statement'!H14</f>
        <v>6330452.5932259997</v>
      </c>
      <c r="I14" s="165">
        <f>H14-G14</f>
        <v>10811.910418158397</v>
      </c>
      <c r="J14" s="926">
        <f t="shared" ref="J14:J25" si="1">IF(ISERROR(I14/G14),"-",I14/G14)</f>
        <v>1.7108425875495539E-3</v>
      </c>
      <c r="K14" s="166"/>
      <c r="L14" s="165">
        <f>'ADB Inc. Statement'!L14+'ANT Inc Statement'!L14+'ACC Inc Statement'!L14+'PUC Inc. Statement'!L15+'AASPA Inc. Statement'!L14+'AFSC Inc. Statement'!L14+'PSPF Inc. Statement'!L14+'ATB Inc. Statement'!L14+'ASSB Inc. Statement'!L14</f>
        <v>4796332.8484287988</v>
      </c>
      <c r="M14" s="165">
        <f>'ADB Inc. Statement'!M14+'ANT Inc Statement'!M14+'ACC Inc Statement'!M14+'PUC Inc. Statement'!M15+'AASPA Inc. Statement'!M14+'AFSC Inc. Statement'!M14+'PSPF Inc. Statement'!M14+'ATB Inc. Statement'!M14+'ASSB Inc. Statement'!M14</f>
        <v>4621800.6818479998</v>
      </c>
      <c r="N14" s="165">
        <f>M14-L14</f>
        <v>-174532.16658079904</v>
      </c>
      <c r="O14" s="167">
        <f t="shared" ref="O14:O25" si="2">IF(ISERROR(N14/L14),"-",N14/L14)</f>
        <v>-3.6388668613349669E-2</v>
      </c>
      <c r="P14" s="166"/>
      <c r="Q14" s="165">
        <f>'ADB Inc. Statement'!Q14+'ANT Inc Statement'!Q14+'ACC Inc Statement'!Q14+'PUC Inc. Statement'!Q15+'AASPA Inc. Statement'!Q14+'AFSC Inc. Statement'!Q14+'PSPF Inc. Statement'!Q14+'ATB Inc. Statement'!Q14+'ASSB Inc. Statement'!Q14</f>
        <v>5284866.9277999997</v>
      </c>
      <c r="R14" s="165">
        <f>'ADB Inc. Statement'!R14+'ANT Inc Statement'!R14+'ACC Inc Statement'!R14+'PUC Inc. Statement'!R15+'AASPA Inc. Statement'!R14+'AFSC Inc. Statement'!R14+'PSPF Inc. Statement'!R14+'ATB Inc. Statement'!R14+'ASSB Inc. Statement'!R14</f>
        <v>5678291.0548319984</v>
      </c>
      <c r="S14" s="165">
        <f>R14-Q14</f>
        <v>393424.12703199871</v>
      </c>
      <c r="T14" s="766">
        <f t="shared" ref="T14:T29" si="3">IF(ISERROR(S14/Q14),"-",S14/Q14)</f>
        <v>7.4443525713479883E-2</v>
      </c>
      <c r="U14" s="782"/>
      <c r="V14" s="168">
        <f>B14+G14+L14+Q14</f>
        <v>25411034.367236637</v>
      </c>
      <c r="W14" s="165">
        <f>C14+H14+M14+R14</f>
        <v>26286368.096579991</v>
      </c>
      <c r="X14" s="165">
        <f>W14-V14</f>
        <v>875333.7293433547</v>
      </c>
      <c r="Y14" s="731">
        <f t="shared" ref="Y14:Y25" si="4">IF(ISERROR(X14/V14),"-",X14/V14)</f>
        <v>3.4446993250772745E-2</v>
      </c>
      <c r="Z14" s="169"/>
      <c r="AA14" s="168">
        <f>'ADB Inc. Statement'!AA14+'ANT Inc Statement'!AA14+'ACC Inc Statement'!AA14+'PUC Inc. Statement'!AA14+'AASPA Inc. Statement'!AA14+'AFSC Inc. Statement'!AA14+'PSPF Inc. Statement'!AA14+'ATB Inc. Statement'!AA14+'ASSB Inc. Statement'!AA14</f>
        <v>25341313.141599998</v>
      </c>
      <c r="AB14" s="165">
        <f>AA14-W14</f>
        <v>-945054.9549799934</v>
      </c>
      <c r="AC14" s="731">
        <f>IF(ISERROR(AB14/AA14),"-",AB14/AA14)</f>
        <v>-3.7293053824768156E-2</v>
      </c>
      <c r="AD14" s="166"/>
      <c r="AE14" s="1178"/>
    </row>
    <row r="15" spans="1:31" x14ac:dyDescent="0.3">
      <c r="A15" s="170" t="s">
        <v>111</v>
      </c>
      <c r="B15" s="168">
        <f>'ADB Inc. Statement'!B15+'ATB Inc. Statement'!B15+'AASPA Inc. Statement'!B15+'ACC Inc Statement'!B15+'ANT Inc Statement'!B15+'PSPF Inc. Statement'!B15+'AFSC Inc. Statement'!B15+'PUC Inc. Statement'!B15+'ASSB Inc. Statement'!B15</f>
        <v>3577866.3862419999</v>
      </c>
      <c r="C15" s="165">
        <f>'ADB Inc. Statement'!C15+'ANT Inc Statement'!C15+'ACC Inc Statement'!C15+'PUC Inc. Statement'!C15+'AASPA Inc. Statement'!C15+'AFSC Inc. Statement'!C15+'PSPF Inc. Statement'!C15+'ATB Inc. Statement'!C15+'ASSB Inc. Statement'!C15</f>
        <v>3428660.9926000005</v>
      </c>
      <c r="D15" s="165">
        <f t="shared" ref="D15:D24" si="5">C15-B15</f>
        <v>-149205.39364199946</v>
      </c>
      <c r="E15" s="926">
        <f t="shared" si="0"/>
        <v>-4.1702338079404037E-2</v>
      </c>
      <c r="F15" s="166"/>
      <c r="G15" s="168">
        <f>'ADB Inc. Statement'!G15+'ANT Inc Statement'!G15+'ACC Inc Statement'!G15+'PUC Inc. Statement'!G16+'AASPA Inc. Statement'!G15+'AFSC Inc. Statement'!G15+'PSPF Inc. Statement'!G15+'ATB Inc. Statement'!G15+'ASSB Inc. Statement'!G15</f>
        <v>3007880.9643772347</v>
      </c>
      <c r="H15" s="165">
        <f>'ADB Inc. Statement'!H15+'ANT Inc Statement'!H15+'ACC Inc Statement'!H15+'PUC Inc. Statement'!H16+'AASPA Inc. Statement'!H15+'AFSC Inc. Statement'!H15+'PSPF Inc. Statement'!H15+'ATB Inc. Statement'!H15+'ASSB Inc. Statement'!H15</f>
        <v>2686100.014</v>
      </c>
      <c r="I15" s="165">
        <f>H15-G15</f>
        <v>-321780.95037723472</v>
      </c>
      <c r="J15" s="926">
        <f t="shared" si="1"/>
        <v>-0.10697928348499579</v>
      </c>
      <c r="K15" s="166"/>
      <c r="L15" s="165">
        <f>'ADB Inc. Statement'!L15+'ANT Inc Statement'!L15+'ACC Inc Statement'!L15+'PUC Inc. Statement'!L16+'AASPA Inc. Statement'!L15+'AFSC Inc. Statement'!L15+'PSPF Inc. Statement'!L15+'ATB Inc. Statement'!L15+'ASSB Inc. Statement'!L15</f>
        <v>2502100.2467639996</v>
      </c>
      <c r="M15" s="165">
        <f>'ADB Inc. Statement'!M15+'ANT Inc Statement'!M15+'ACC Inc Statement'!M15+'PUC Inc. Statement'!M16+'AASPA Inc. Statement'!M15+'AFSC Inc. Statement'!M15+'PSPF Inc. Statement'!M15+'ATB Inc. Statement'!M15+'ASSB Inc. Statement'!M15</f>
        <v>2218668.6950000003</v>
      </c>
      <c r="N15" s="165">
        <f t="shared" ref="N15:N24" si="6">M15-L15</f>
        <v>-283431.55176399928</v>
      </c>
      <c r="O15" s="167">
        <f t="shared" si="2"/>
        <v>-0.11327745646105314</v>
      </c>
      <c r="P15" s="166"/>
      <c r="Q15" s="165">
        <f>'ADB Inc. Statement'!Q15+'ANT Inc Statement'!Q15+'ACC Inc Statement'!Q15+'PUC Inc. Statement'!Q16+'AASPA Inc. Statement'!Q15+'AFSC Inc. Statement'!Q15+'PSPF Inc. Statement'!Q15+'ATB Inc. Statement'!Q15+'ASSB Inc. Statement'!Q15</f>
        <v>2764015.3019999997</v>
      </c>
      <c r="R15" s="165">
        <f>'ADB Inc. Statement'!R15+'ANT Inc Statement'!R15+'ACC Inc Statement'!R15+'PUC Inc. Statement'!R16+'AASPA Inc. Statement'!R15+'AFSC Inc. Statement'!R15+'PSPF Inc. Statement'!R15+'ATB Inc. Statement'!R15+'ASSB Inc. Statement'!R15</f>
        <v>2953090.1379999993</v>
      </c>
      <c r="S15" s="165">
        <f t="shared" ref="S15:S24" si="7">R15-Q15</f>
        <v>189074.83599999966</v>
      </c>
      <c r="T15" s="766">
        <f t="shared" si="3"/>
        <v>6.840585718291356E-2</v>
      </c>
      <c r="U15" s="782"/>
      <c r="V15" s="168">
        <f t="shared" ref="V15:V24" si="8">B15+G15+L15+Q15</f>
        <v>11851862.899383234</v>
      </c>
      <c r="W15" s="165">
        <f t="shared" ref="W15:W24" si="9">C15+H15+M15+R15</f>
        <v>11286519.839600001</v>
      </c>
      <c r="X15" s="165">
        <f t="shared" ref="X15:X24" si="10">W15-V15</f>
        <v>-565343.05978323333</v>
      </c>
      <c r="Y15" s="731">
        <f t="shared" si="4"/>
        <v>-4.7700776205625323E-2</v>
      </c>
      <c r="Z15" s="169"/>
      <c r="AA15" s="168">
        <f>'ADB Inc. Statement'!AA15+'ANT Inc Statement'!AA15+'ACC Inc Statement'!AA15+'PUC Inc. Statement'!AA15+'AASPA Inc. Statement'!AA15+'AFSC Inc. Statement'!AA15+'PSPF Inc. Statement'!AA15+'ATB Inc. Statement'!AA15+'ASSB Inc. Statement'!AA15</f>
        <v>12508958.647402</v>
      </c>
      <c r="AB15" s="165">
        <f>AA15-W15</f>
        <v>1222438.8078019992</v>
      </c>
      <c r="AC15" s="731">
        <f>IF(ISERROR(AB15/AA15),"-",AB15/AA15)</f>
        <v>9.7725065871561489E-2</v>
      </c>
      <c r="AD15" s="166"/>
      <c r="AE15" s="1178"/>
    </row>
    <row r="16" spans="1:31" x14ac:dyDescent="0.3">
      <c r="A16" s="170" t="s">
        <v>69</v>
      </c>
      <c r="B16" s="168">
        <f>'ADB Inc. Statement'!B16+'ATB Inc. Statement'!B16+'AASPA Inc. Statement'!B16+'ACC Inc Statement'!B16+'ANT Inc Statement'!B16+'PSPF Inc. Statement'!B16+'AFSC Inc. Statement'!B16+'PUC Inc. Statement'!B16+'ASSB Inc. Statement'!B16</f>
        <v>5683191.1037613004</v>
      </c>
      <c r="C16" s="165">
        <f>'ADB Inc. Statement'!C16+'ANT Inc Statement'!C16+'ACC Inc Statement'!C16+'PUC Inc. Statement'!C16+'AASPA Inc. Statement'!C16+'AFSC Inc. Statement'!C16+'PSPF Inc. Statement'!C16+'ATB Inc. Statement'!C16+'ASSB Inc. Statement'!C16</f>
        <v>5564986.5899999999</v>
      </c>
      <c r="D16" s="165">
        <f t="shared" si="5"/>
        <v>-118204.51376130059</v>
      </c>
      <c r="E16" s="926">
        <f t="shared" si="0"/>
        <v>-2.0798968678542137E-2</v>
      </c>
      <c r="F16" s="171"/>
      <c r="G16" s="168">
        <f>'ADB Inc. Statement'!G16+'ANT Inc Statement'!G16+'ACC Inc Statement'!G16+'PUC Inc. Statement'!G17+'AASPA Inc. Statement'!G16+'AFSC Inc. Statement'!G16+'PSPF Inc. Statement'!G16+'ATB Inc. Statement'!G16+'ASSB Inc. Statement'!G16</f>
        <v>5689239.5537612997</v>
      </c>
      <c r="H16" s="165">
        <f>'ADB Inc. Statement'!H16+'ANT Inc Statement'!H16+'ACC Inc Statement'!H16+'PUC Inc. Statement'!H17+'AASPA Inc. Statement'!H16+'AFSC Inc. Statement'!H16+'PSPF Inc. Statement'!H16+'ATB Inc. Statement'!H16+'ASSB Inc. Statement'!H16</f>
        <v>3949621.2721899999</v>
      </c>
      <c r="I16" s="165">
        <f t="shared" ref="I16:I24" si="11">H16-G16</f>
        <v>-1739618.2815712998</v>
      </c>
      <c r="J16" s="926">
        <f t="shared" si="1"/>
        <v>-0.30577342808867913</v>
      </c>
      <c r="K16" s="171"/>
      <c r="L16" s="165">
        <f>'ADB Inc. Statement'!L16+'ANT Inc Statement'!L16+'ACC Inc Statement'!L16+'PUC Inc. Statement'!L17+'AASPA Inc. Statement'!L16+'AFSC Inc. Statement'!L16+'PSPF Inc. Statement'!L16+'ATB Inc. Statement'!L16+'ASSB Inc. Statement'!L16</f>
        <v>5683191.1037613004</v>
      </c>
      <c r="M16" s="165">
        <f>'ADB Inc. Statement'!M16+'ANT Inc Statement'!M16+'ACC Inc Statement'!M16+'PUC Inc. Statement'!M17+'AASPA Inc. Statement'!M16+'AFSC Inc. Statement'!M16+'PSPF Inc. Statement'!M16+'ATB Inc. Statement'!M16+'ASSB Inc. Statement'!M16</f>
        <v>11955115.139999999</v>
      </c>
      <c r="N16" s="165">
        <f t="shared" si="6"/>
        <v>6271924.0362386983</v>
      </c>
      <c r="O16" s="167">
        <f t="shared" si="2"/>
        <v>1.1035919647480721</v>
      </c>
      <c r="P16" s="171"/>
      <c r="Q16" s="165">
        <f>'ADB Inc. Statement'!Q16+'ANT Inc Statement'!Q16+'ACC Inc Statement'!Q16+'PUC Inc. Statement'!Q17+'AASPA Inc. Statement'!Q16+'AFSC Inc. Statement'!Q16+'PSPF Inc. Statement'!Q16+'ATB Inc. Statement'!Q16+'ASSB Inc. Statement'!Q16</f>
        <v>608434.17176130018</v>
      </c>
      <c r="R16" s="165">
        <f>'ADB Inc. Statement'!R16+'ANT Inc Statement'!R16+'ACC Inc Statement'!R16+'PUC Inc. Statement'!R17+'AASPA Inc. Statement'!R16+'AFSC Inc. Statement'!R16+'PSPF Inc. Statement'!R16+'ATB Inc. Statement'!R16+'ASSB Inc. Statement'!R16</f>
        <v>879535.84808199992</v>
      </c>
      <c r="S16" s="165">
        <f t="shared" si="7"/>
        <v>271101.67632069974</v>
      </c>
      <c r="T16" s="766">
        <f t="shared" si="3"/>
        <v>0.44557273227424488</v>
      </c>
      <c r="U16" s="783"/>
      <c r="V16" s="168">
        <f t="shared" si="8"/>
        <v>17664055.933045201</v>
      </c>
      <c r="W16" s="165">
        <f t="shared" si="9"/>
        <v>22349258.850272</v>
      </c>
      <c r="X16" s="165">
        <f t="shared" si="10"/>
        <v>4685202.9172267988</v>
      </c>
      <c r="Y16" s="731">
        <f t="shared" si="4"/>
        <v>0.26523936150258171</v>
      </c>
      <c r="Z16" s="169"/>
      <c r="AA16" s="168">
        <f>'ADB Inc. Statement'!AA16+'ANT Inc Statement'!AA16+'ACC Inc Statement'!AA16+'PUC Inc. Statement'!AA16+'AASPA Inc. Statement'!AA16+'AFSC Inc. Statement'!AA16+'PSPF Inc. Statement'!AA16+'ATB Inc. Statement'!AA16+'ASSB Inc. Statement'!AA16</f>
        <v>24929335.433045201</v>
      </c>
      <c r="AB16" s="165">
        <f t="shared" ref="AB16:AB24" si="12">AA16-W16</f>
        <v>2580076.5827732012</v>
      </c>
      <c r="AC16" s="731">
        <f t="shared" ref="AC16:AC24" si="13">IF(ISERROR(AB16/AA16),"-",AB16/AA16)</f>
        <v>0.10349560218733983</v>
      </c>
      <c r="AD16" s="171"/>
      <c r="AE16" s="1179"/>
    </row>
    <row r="17" spans="1:33" x14ac:dyDescent="0.3">
      <c r="A17" s="170" t="s">
        <v>68</v>
      </c>
      <c r="B17" s="168">
        <f>'ADB Inc. Statement'!B17+'ATB Inc. Statement'!B17+'AASPA Inc. Statement'!B17+'ACC Inc Statement'!B17+'ANT Inc Statement'!B17+'PSPF Inc. Statement'!B17+'AFSC Inc. Statement'!B17+'PUC Inc. Statement'!B17+'ASSB Inc. Statement'!B17</f>
        <v>147975.26</v>
      </c>
      <c r="C17" s="165">
        <f>'ADB Inc. Statement'!C17+'ANT Inc Statement'!C17+'ACC Inc Statement'!C17+'PUC Inc. Statement'!C17+'AASPA Inc. Statement'!C17+'AFSC Inc. Statement'!C17+'PSPF Inc. Statement'!C17+'ATB Inc. Statement'!C17+'ASSB Inc. Statement'!C17</f>
        <v>161859.91</v>
      </c>
      <c r="D17" s="165">
        <f t="shared" si="5"/>
        <v>13884.649999999994</v>
      </c>
      <c r="E17" s="926">
        <f t="shared" si="0"/>
        <v>9.3830887676764299E-2</v>
      </c>
      <c r="F17" s="166"/>
      <c r="G17" s="168">
        <f>'ADB Inc. Statement'!G17+'ANT Inc Statement'!G17+'ACC Inc Statement'!G17+'PUC Inc. Statement'!G18+'AASPA Inc. Statement'!G17+'AFSC Inc. Statement'!G17+'PSPF Inc. Statement'!G17+'ATB Inc. Statement'!G17+'ASSB Inc. Statement'!G17</f>
        <v>146798.41</v>
      </c>
      <c r="H17" s="165">
        <f>'ADB Inc. Statement'!H17+'ANT Inc Statement'!H17+'ACC Inc Statement'!H17+'PUC Inc. Statement'!H18+'AASPA Inc. Statement'!H17+'AFSC Inc. Statement'!H17+'PSPF Inc. Statement'!H17+'ATB Inc. Statement'!H17+'ASSB Inc. Statement'!H17</f>
        <v>157293.91</v>
      </c>
      <c r="I17" s="165">
        <f t="shared" si="11"/>
        <v>10495.5</v>
      </c>
      <c r="J17" s="926">
        <f t="shared" si="1"/>
        <v>7.1496005985350927E-2</v>
      </c>
      <c r="K17" s="166"/>
      <c r="L17" s="165">
        <f>'ADB Inc. Statement'!L17+'ANT Inc Statement'!L17+'ACC Inc Statement'!L17+'PUC Inc. Statement'!L18+'AASPA Inc. Statement'!L17+'AFSC Inc. Statement'!L17+'PSPF Inc. Statement'!L17+'ATB Inc. Statement'!L17+'ASSB Inc. Statement'!L17</f>
        <v>170462.78</v>
      </c>
      <c r="M17" s="165">
        <f>'ADB Inc. Statement'!M17+'ANT Inc Statement'!M17+'ACC Inc Statement'!M17+'PUC Inc. Statement'!M18+'AASPA Inc. Statement'!M17+'AFSC Inc. Statement'!M17+'PSPF Inc. Statement'!M17+'ATB Inc. Statement'!M17+'ASSB Inc. Statement'!M17</f>
        <v>154342.37</v>
      </c>
      <c r="N17" s="165">
        <f t="shared" si="6"/>
        <v>-16120.410000000003</v>
      </c>
      <c r="O17" s="167">
        <f t="shared" si="2"/>
        <v>-9.4568503458643607E-2</v>
      </c>
      <c r="P17" s="166"/>
      <c r="Q17" s="165">
        <f>'ADB Inc. Statement'!Q17+'ANT Inc Statement'!Q17+'ACC Inc Statement'!Q17+'PUC Inc. Statement'!Q18+'AASPA Inc. Statement'!Q17+'AFSC Inc. Statement'!Q17+'PSPF Inc. Statement'!Q17+'ATB Inc. Statement'!Q17+'ASSB Inc. Statement'!Q17</f>
        <v>119109.07</v>
      </c>
      <c r="R17" s="165">
        <f>'ADB Inc. Statement'!R17+'ANT Inc Statement'!R17+'ACC Inc Statement'!R17+'PUC Inc. Statement'!R18+'AASPA Inc. Statement'!R17+'AFSC Inc. Statement'!R17+'PSPF Inc. Statement'!R17+'ATB Inc. Statement'!R17+'ASSB Inc. Statement'!R17</f>
        <v>82949.440000000017</v>
      </c>
      <c r="S17" s="165">
        <f t="shared" si="7"/>
        <v>-36159.62999999999</v>
      </c>
      <c r="T17" s="766">
        <f t="shared" si="3"/>
        <v>-0.30358418548646199</v>
      </c>
      <c r="U17" s="782"/>
      <c r="V17" s="168">
        <f t="shared" si="8"/>
        <v>584345.52</v>
      </c>
      <c r="W17" s="165">
        <f t="shared" si="9"/>
        <v>556445.63</v>
      </c>
      <c r="X17" s="165">
        <f t="shared" si="10"/>
        <v>-27899.890000000014</v>
      </c>
      <c r="Y17" s="731">
        <f t="shared" si="4"/>
        <v>-4.7745535894585127E-2</v>
      </c>
      <c r="Z17" s="169"/>
      <c r="AA17" s="168">
        <f>'ADB Inc. Statement'!AA17+'ANT Inc Statement'!AA17+'ACC Inc Statement'!AA17+'PUC Inc. Statement'!AA17+'AASPA Inc. Statement'!AA17+'AFSC Inc. Statement'!AA17+'PSPF Inc. Statement'!AA17+'ATB Inc. Statement'!AA17+'ASSB Inc. Statement'!AA17</f>
        <v>834106</v>
      </c>
      <c r="AB17" s="165">
        <f t="shared" si="12"/>
        <v>277660.37</v>
      </c>
      <c r="AC17" s="731">
        <f t="shared" si="13"/>
        <v>0.33288379414606778</v>
      </c>
      <c r="AD17" s="166"/>
      <c r="AE17" s="1178"/>
    </row>
    <row r="18" spans="1:33" x14ac:dyDescent="0.3">
      <c r="A18" s="170" t="s">
        <v>71</v>
      </c>
      <c r="B18" s="168">
        <f>'ADB Inc. Statement'!B18+'ATB Inc. Statement'!B18+'AASPA Inc. Statement'!B18+'ACC Inc Statement'!B18+'ANT Inc Statement'!B18+'PSPF Inc. Statement'!B18+'AFSC Inc. Statement'!B18+'PUC Inc. Statement'!B18+'ASSB Inc. Statement'!B18</f>
        <v>1673699.340054</v>
      </c>
      <c r="C18" s="165">
        <f>'ADB Inc. Statement'!C18+'ANT Inc Statement'!C18+'ACC Inc Statement'!C18+'PUC Inc. Statement'!C18+'AASPA Inc. Statement'!C18+'AFSC Inc. Statement'!C18+'PSPF Inc. Statement'!C18+'ATB Inc. Statement'!C18+'ASSB Inc. Statement'!C18</f>
        <v>1825966.4690780004</v>
      </c>
      <c r="D18" s="165">
        <f t="shared" si="5"/>
        <v>152267.12902400037</v>
      </c>
      <c r="E18" s="926">
        <f t="shared" si="0"/>
        <v>9.0976393059393604E-2</v>
      </c>
      <c r="F18" s="166"/>
      <c r="G18" s="168">
        <f>'ADB Inc. Statement'!G18+'ANT Inc Statement'!G18+'ACC Inc Statement'!G18+'PUC Inc. Statement'!G19+'AASPA Inc. Statement'!G18+'AFSC Inc. Statement'!G18+'PSPF Inc. Statement'!G18+'ATB Inc. Statement'!G18+'ASSB Inc. Statement'!G18</f>
        <v>1800966.7205720001</v>
      </c>
      <c r="H18" s="165">
        <f>'ADB Inc. Statement'!H18+'ANT Inc Statement'!H18+'ACC Inc Statement'!H18+'PUC Inc. Statement'!H19+'AASPA Inc. Statement'!H18+'AFSC Inc. Statement'!H18+'PSPF Inc. Statement'!H18+'ATB Inc. Statement'!H18+'ASSB Inc. Statement'!H18</f>
        <v>2100593.3061600002</v>
      </c>
      <c r="I18" s="165">
        <f t="shared" si="11"/>
        <v>299626.58558800002</v>
      </c>
      <c r="J18" s="926">
        <f t="shared" si="1"/>
        <v>0.16636986245522428</v>
      </c>
      <c r="K18" s="166"/>
      <c r="L18" s="165">
        <f>'ADB Inc. Statement'!L18+'ANT Inc Statement'!L18+'ACC Inc Statement'!L18+'PUC Inc. Statement'!L19+'AASPA Inc. Statement'!L18+'AFSC Inc. Statement'!L18+'PSPF Inc. Statement'!L18+'ATB Inc. Statement'!L18+'ASSB Inc. Statement'!L18</f>
        <v>1302094.963794</v>
      </c>
      <c r="M18" s="165">
        <f>'ADB Inc. Statement'!M18+'ANT Inc Statement'!M18+'ACC Inc Statement'!M18+'PUC Inc. Statement'!M19+'AASPA Inc. Statement'!M18+'AFSC Inc. Statement'!M18+'PSPF Inc. Statement'!M18+'ATB Inc. Statement'!M18+'ASSB Inc. Statement'!M18</f>
        <v>2044654.0083499998</v>
      </c>
      <c r="N18" s="165">
        <f t="shared" si="6"/>
        <v>742559.0445559998</v>
      </c>
      <c r="O18" s="167">
        <f t="shared" si="2"/>
        <v>0.57028025236527802</v>
      </c>
      <c r="P18" s="166"/>
      <c r="Q18" s="165">
        <f>'ADB Inc. Statement'!Q18+'ANT Inc Statement'!Q18+'ACC Inc Statement'!Q18+'PUC Inc. Statement'!Q19+'AASPA Inc. Statement'!Q18+'AFSC Inc. Statement'!Q18+'PSPF Inc. Statement'!Q18+'ATB Inc. Statement'!Q18+'ASSB Inc. Statement'!Q18</f>
        <v>1081639.7859880002</v>
      </c>
      <c r="R18" s="165">
        <f>'ADB Inc. Statement'!R18+'ANT Inc Statement'!R18+'ACC Inc Statement'!R18+'PUC Inc. Statement'!R19+'AASPA Inc. Statement'!R18+'AFSC Inc. Statement'!R18+'PSPF Inc. Statement'!R18+'ATB Inc. Statement'!R18+'ASSB Inc. Statement'!R18</f>
        <v>1003962.72361</v>
      </c>
      <c r="S18" s="165">
        <f t="shared" si="7"/>
        <v>-77677.062378000235</v>
      </c>
      <c r="T18" s="766">
        <f t="shared" si="3"/>
        <v>-7.18141689906939E-2</v>
      </c>
      <c r="U18" s="782"/>
      <c r="V18" s="168">
        <f t="shared" si="8"/>
        <v>5858400.8104080008</v>
      </c>
      <c r="W18" s="165">
        <f t="shared" si="9"/>
        <v>6975176.5071980003</v>
      </c>
      <c r="X18" s="165">
        <f t="shared" si="10"/>
        <v>1116775.6967899995</v>
      </c>
      <c r="Y18" s="731">
        <f t="shared" si="4"/>
        <v>0.19062807973226112</v>
      </c>
      <c r="Z18" s="169"/>
      <c r="AA18" s="168">
        <f>'ADB Inc. Statement'!AA18+'ANT Inc Statement'!AA18+'ACC Inc Statement'!AA18+'PUC Inc. Statement'!AA18+'AASPA Inc. Statement'!AA18+'AFSC Inc. Statement'!AA18+'PSPF Inc. Statement'!AA18+'ATB Inc. Statement'!AA18+'ASSB Inc. Statement'!AA18</f>
        <v>6092777.2804080006</v>
      </c>
      <c r="AB18" s="165">
        <f t="shared" si="12"/>
        <v>-882399.22678999975</v>
      </c>
      <c r="AC18" s="731">
        <f t="shared" si="13"/>
        <v>-0.14482709381605857</v>
      </c>
      <c r="AD18" s="166"/>
      <c r="AE18" s="1178"/>
    </row>
    <row r="19" spans="1:33" x14ac:dyDescent="0.3">
      <c r="A19" s="170" t="s">
        <v>188</v>
      </c>
      <c r="B19" s="168">
        <f>'ADB Inc. Statement'!B19+'ATB Inc. Statement'!B19+'AASPA Inc. Statement'!B19+'ACC Inc Statement'!B19+'ANT Inc Statement'!B19+'PSPF Inc. Statement'!B19+'AFSC Inc. Statement'!B19+'PUC Inc. Statement'!B19+'ASSB Inc. Statement'!B19</f>
        <v>240000</v>
      </c>
      <c r="C19" s="165">
        <f>'ADB Inc. Statement'!C19+'ANT Inc Statement'!C19+'ACC Inc Statement'!C19+'PUC Inc. Statement'!C19+'AASPA Inc. Statement'!C19+'AFSC Inc. Statement'!C19+'PSPF Inc. Statement'!C19+'ATB Inc. Statement'!C19+'ASSB Inc. Statement'!C19</f>
        <v>0</v>
      </c>
      <c r="D19" s="165">
        <f t="shared" si="5"/>
        <v>-240000</v>
      </c>
      <c r="E19" s="926">
        <f t="shared" si="0"/>
        <v>-1</v>
      </c>
      <c r="F19" s="166"/>
      <c r="G19" s="168">
        <f>'ADB Inc. Statement'!G19+'ANT Inc Statement'!G19+'ACC Inc Statement'!G19+'PUC Inc. Statement'!G20+'AASPA Inc. Statement'!G19+'AFSC Inc. Statement'!G19+'PSPF Inc. Statement'!G19+'ATB Inc. Statement'!G19+'ASSB Inc. Statement'!G19</f>
        <v>240000</v>
      </c>
      <c r="H19" s="165">
        <f>'ADB Inc. Statement'!H19+'ANT Inc Statement'!H19+'ACC Inc Statement'!H19+'PUC Inc. Statement'!H20+'AASPA Inc. Statement'!H19+'AFSC Inc. Statement'!H19+'PSPF Inc. Statement'!H19+'ATB Inc. Statement'!H19+'ASSB Inc. Statement'!H19</f>
        <v>0</v>
      </c>
      <c r="I19" s="165">
        <f t="shared" si="11"/>
        <v>-240000</v>
      </c>
      <c r="J19" s="926"/>
      <c r="K19" s="166"/>
      <c r="L19" s="165">
        <f>'ADB Inc. Statement'!L19+'ANT Inc Statement'!L19+'ACC Inc Statement'!L19+'PUC Inc. Statement'!L20+'AASPA Inc. Statement'!L19+'AFSC Inc. Statement'!L19+'PSPF Inc. Statement'!L19+'ATB Inc. Statement'!L19+'ASSB Inc. Statement'!L19</f>
        <v>240000</v>
      </c>
      <c r="M19" s="165">
        <f>'ADB Inc. Statement'!M19+'ANT Inc Statement'!M19+'ACC Inc Statement'!M19+'PUC Inc. Statement'!M20+'AASPA Inc. Statement'!M19+'AFSC Inc. Statement'!M19+'PSPF Inc. Statement'!M19+'ATB Inc. Statement'!M19+'ASSB Inc. Statement'!M19</f>
        <v>0</v>
      </c>
      <c r="N19" s="165">
        <f t="shared" si="6"/>
        <v>-240000</v>
      </c>
      <c r="O19" s="167">
        <f t="shared" si="2"/>
        <v>-1</v>
      </c>
      <c r="P19" s="166"/>
      <c r="Q19" s="165">
        <f>'ADB Inc. Statement'!Q19+'ANT Inc Statement'!Q19+'ACC Inc Statement'!Q19+'PUC Inc. Statement'!Q20+'AASPA Inc. Statement'!Q19+'AFSC Inc. Statement'!Q19+'PSPF Inc. Statement'!Q19+'ATB Inc. Statement'!Q19+'ASSB Inc. Statement'!Q19</f>
        <v>240000</v>
      </c>
      <c r="R19" s="165">
        <f>'ADB Inc. Statement'!R19+'ANT Inc Statement'!R19+'ACC Inc Statement'!R19+'PUC Inc. Statement'!R20+'AASPA Inc. Statement'!R19+'AFSC Inc. Statement'!R19+'PSPF Inc. Statement'!R19+'ATB Inc. Statement'!R19+'ASSB Inc. Statement'!R19</f>
        <v>314234.40000000002</v>
      </c>
      <c r="S19" s="165">
        <f t="shared" si="7"/>
        <v>74234.400000000023</v>
      </c>
      <c r="T19" s="766">
        <f t="shared" si="3"/>
        <v>0.30931000000000008</v>
      </c>
      <c r="U19" s="782"/>
      <c r="V19" s="168">
        <f t="shared" si="8"/>
        <v>960000</v>
      </c>
      <c r="W19" s="165">
        <f t="shared" si="9"/>
        <v>314234.40000000002</v>
      </c>
      <c r="X19" s="165">
        <f t="shared" si="10"/>
        <v>-645765.6</v>
      </c>
      <c r="Y19" s="731">
        <f t="shared" si="4"/>
        <v>-0.67267250000000001</v>
      </c>
      <c r="Z19" s="169"/>
      <c r="AA19" s="168">
        <f>'ADB Inc. Statement'!AA19+'ANT Inc Statement'!AA19+'ACC Inc Statement'!AA19+'PUC Inc. Statement'!AA19+'AASPA Inc. Statement'!AA19+'AFSC Inc. Statement'!AA19+'PSPF Inc. Statement'!AA19+'ATB Inc. Statement'!AA19+'ASSB Inc. Statement'!AA19</f>
        <v>960000</v>
      </c>
      <c r="AB19" s="165">
        <f t="shared" si="12"/>
        <v>645765.6</v>
      </c>
      <c r="AC19" s="731">
        <f t="shared" si="13"/>
        <v>0.67267250000000001</v>
      </c>
      <c r="AD19" s="166"/>
      <c r="AE19" s="1178"/>
    </row>
    <row r="20" spans="1:33" x14ac:dyDescent="0.3">
      <c r="A20" s="172" t="s">
        <v>67</v>
      </c>
      <c r="B20" s="168">
        <f>'ADB Inc. Statement'!B20+'ATB Inc. Statement'!B20+'AASPA Inc. Statement'!B20+'ACC Inc Statement'!B20+'ANT Inc Statement'!B20+'PSPF Inc. Statement'!B20+'AFSC Inc. Statement'!B20+'PUC Inc. Statement'!B20+'ASSB Inc. Statement'!B20</f>
        <v>0</v>
      </c>
      <c r="C20" s="165">
        <f>'ADB Inc. Statement'!C20+'ANT Inc Statement'!C20+'ACC Inc Statement'!C20+'PUC Inc. Statement'!C20+'AASPA Inc. Statement'!C20+'AFSC Inc. Statement'!C20+'PSPF Inc. Statement'!C20+'ATB Inc. Statement'!C20+'ASSB Inc. Statement'!C20</f>
        <v>0</v>
      </c>
      <c r="D20" s="165">
        <f t="shared" si="5"/>
        <v>0</v>
      </c>
      <c r="E20" s="926" t="str">
        <f t="shared" si="0"/>
        <v>-</v>
      </c>
      <c r="F20" s="166"/>
      <c r="G20" s="168">
        <f>'ADB Inc. Statement'!G20+'ANT Inc Statement'!G20+'ACC Inc Statement'!G20+'PUC Inc. Statement'!G21+'AASPA Inc. Statement'!G20+'AFSC Inc. Statement'!G20+'PSPF Inc. Statement'!G20+'ATB Inc. Statement'!G20+'ASSB Inc. Statement'!G20</f>
        <v>0</v>
      </c>
      <c r="H20" s="165">
        <f>'ADB Inc. Statement'!H20+'ANT Inc Statement'!H20+'ACC Inc Statement'!H20+'PUC Inc. Statement'!H21+'AASPA Inc. Statement'!H20+'AFSC Inc. Statement'!H20+'PSPF Inc. Statement'!H20+'ATB Inc. Statement'!H20+'ASSB Inc. Statement'!H20</f>
        <v>0</v>
      </c>
      <c r="I20" s="165">
        <f t="shared" si="11"/>
        <v>0</v>
      </c>
      <c r="J20" s="926" t="str">
        <f t="shared" si="1"/>
        <v>-</v>
      </c>
      <c r="K20" s="166"/>
      <c r="L20" s="165">
        <f>'ADB Inc. Statement'!L20+'ANT Inc Statement'!L20+'ACC Inc Statement'!L20+'PUC Inc. Statement'!L21+'AASPA Inc. Statement'!L20+'AFSC Inc. Statement'!L20+'PSPF Inc. Statement'!L20+'ATB Inc. Statement'!L20+'ASSB Inc. Statement'!L20</f>
        <v>0</v>
      </c>
      <c r="M20" s="165">
        <f>'ADB Inc. Statement'!M20+'ANT Inc Statement'!M20+'ACC Inc Statement'!M20+'PUC Inc. Statement'!M21+'AASPA Inc. Statement'!M20+'AFSC Inc. Statement'!M20+'PSPF Inc. Statement'!M20+'ATB Inc. Statement'!M20+'ASSB Inc. Statement'!M20</f>
        <v>0</v>
      </c>
      <c r="N20" s="165">
        <f t="shared" si="6"/>
        <v>0</v>
      </c>
      <c r="O20" s="167" t="str">
        <f t="shared" si="2"/>
        <v>-</v>
      </c>
      <c r="P20" s="166"/>
      <c r="Q20" s="165">
        <f>'ADB Inc. Statement'!Q20+'ANT Inc Statement'!Q20+'ACC Inc Statement'!Q20+'PUC Inc. Statement'!Q21+'AASPA Inc. Statement'!Q20+'AFSC Inc. Statement'!Q20+'PSPF Inc. Statement'!Q20+'ATB Inc. Statement'!Q20+'ASSB Inc. Statement'!Q20</f>
        <v>0</v>
      </c>
      <c r="R20" s="165">
        <f>'ADB Inc. Statement'!R20+'ANT Inc Statement'!R20+'ACC Inc Statement'!R20+'PUC Inc. Statement'!R21+'AASPA Inc. Statement'!R20+'AFSC Inc. Statement'!R20+'PSPF Inc. Statement'!R20+'ATB Inc. Statement'!R20+'ASSB Inc. Statement'!R20</f>
        <v>0</v>
      </c>
      <c r="S20" s="165">
        <f t="shared" si="7"/>
        <v>0</v>
      </c>
      <c r="T20" s="766" t="str">
        <f t="shared" si="3"/>
        <v>-</v>
      </c>
      <c r="U20" s="782"/>
      <c r="V20" s="168">
        <f t="shared" si="8"/>
        <v>0</v>
      </c>
      <c r="W20" s="165">
        <f t="shared" si="9"/>
        <v>0</v>
      </c>
      <c r="X20" s="165">
        <f t="shared" si="10"/>
        <v>0</v>
      </c>
      <c r="Y20" s="731" t="str">
        <f t="shared" si="4"/>
        <v>-</v>
      </c>
      <c r="Z20" s="169"/>
      <c r="AA20" s="168">
        <f>'ADB Inc. Statement'!AA20+'ANT Inc Statement'!AA20+'ACC Inc Statement'!AA20+'PUC Inc. Statement'!AA20+'AASPA Inc. Statement'!AA20+'AFSC Inc. Statement'!AA20+'PSPF Inc. Statement'!AA20+'ATB Inc. Statement'!AA20+'ASSB Inc. Statement'!AA20</f>
        <v>0</v>
      </c>
      <c r="AB20" s="165">
        <f t="shared" si="12"/>
        <v>0</v>
      </c>
      <c r="AC20" s="731" t="str">
        <f t="shared" si="13"/>
        <v>-</v>
      </c>
      <c r="AD20" s="166"/>
      <c r="AE20" s="1178"/>
    </row>
    <row r="21" spans="1:33" x14ac:dyDescent="0.3">
      <c r="A21" s="164" t="s">
        <v>112</v>
      </c>
      <c r="B21" s="168">
        <f>'ADB Inc. Statement'!B21+'ATB Inc. Statement'!B21+'AASPA Inc. Statement'!B21+'ACC Inc Statement'!B21+'ANT Inc Statement'!B21+'PSPF Inc. Statement'!B21+'AFSC Inc. Statement'!B21+'PUC Inc. Statement'!B21+'ASSB Inc. Statement'!B21</f>
        <v>3397862.75</v>
      </c>
      <c r="C21" s="165">
        <f>'ADB Inc. Statement'!C21+'ANT Inc Statement'!C21+'ACC Inc Statement'!C21+'PUC Inc. Statement'!C21+'AASPA Inc. Statement'!C21+'AFSC Inc. Statement'!C21+'PSPF Inc. Statement'!C21+'ATB Inc. Statement'!C21+'ASSB Inc. Statement'!C21</f>
        <v>3397862.73</v>
      </c>
      <c r="D21" s="165">
        <f t="shared" si="5"/>
        <v>-2.0000000018626451E-2</v>
      </c>
      <c r="E21" s="926">
        <f t="shared" si="0"/>
        <v>-5.8860529368428586E-9</v>
      </c>
      <c r="F21" s="166"/>
      <c r="G21" s="168">
        <f>'ADB Inc. Statement'!G21+'ANT Inc Statement'!G21+'ACC Inc Statement'!G21+'PUC Inc. Statement'!G22+'AASPA Inc. Statement'!G21+'AFSC Inc. Statement'!G21+'PSPF Inc. Statement'!G21+'ATB Inc. Statement'!G21+'ASSB Inc. Statement'!G21</f>
        <v>3397862.75</v>
      </c>
      <c r="H21" s="165">
        <f>'ADB Inc. Statement'!H21+'ANT Inc Statement'!H21+'ACC Inc Statement'!H21+'PUC Inc. Statement'!H22+'AASPA Inc. Statement'!H21+'AFSC Inc. Statement'!H21+'PSPF Inc. Statement'!H21+'ATB Inc. Statement'!H21+'ASSB Inc. Statement'!H21</f>
        <v>3397862.73</v>
      </c>
      <c r="I21" s="165">
        <f t="shared" si="11"/>
        <v>-2.0000000018626451E-2</v>
      </c>
      <c r="J21" s="926">
        <f t="shared" si="1"/>
        <v>-5.8860529368428586E-9</v>
      </c>
      <c r="K21" s="166"/>
      <c r="L21" s="165">
        <f>'ADB Inc. Statement'!L21+'ANT Inc Statement'!L21+'ACC Inc Statement'!L21+'PUC Inc. Statement'!L22+'AASPA Inc. Statement'!L21+'AFSC Inc. Statement'!L21+'PSPF Inc. Statement'!L21+'ATB Inc. Statement'!L21+'ASSB Inc. Statement'!L21</f>
        <v>3397862.75</v>
      </c>
      <c r="M21" s="165">
        <f>'ADB Inc. Statement'!M21+'ANT Inc Statement'!M21+'ACC Inc Statement'!M21+'PUC Inc. Statement'!M22+'AASPA Inc. Statement'!M21+'AFSC Inc. Statement'!M21+'PSPF Inc. Statement'!M21+'ATB Inc. Statement'!M21+'ASSB Inc. Statement'!M21</f>
        <v>3405673.5</v>
      </c>
      <c r="N21" s="165">
        <f t="shared" si="6"/>
        <v>7810.75</v>
      </c>
      <c r="O21" s="167">
        <f t="shared" si="2"/>
        <v>2.2987243966814141E-3</v>
      </c>
      <c r="P21" s="166"/>
      <c r="Q21" s="165">
        <f>'ADB Inc. Statement'!Q21+'ANT Inc Statement'!Q21+'ACC Inc Statement'!Q21+'PUC Inc. Statement'!Q22+'AASPA Inc. Statement'!Q21+'AFSC Inc. Statement'!Q21+'PSPF Inc. Statement'!Q21+'ATB Inc. Statement'!Q21+'ASSB Inc. Statement'!Q21</f>
        <v>3397862.75</v>
      </c>
      <c r="R21" s="165">
        <f>'ADB Inc. Statement'!R21+'ANT Inc Statement'!R21+'ACC Inc Statement'!R21+'PUC Inc. Statement'!R22+'AASPA Inc. Statement'!R21+'AFSC Inc. Statement'!R21+'PSPF Inc. Statement'!R21+'ATB Inc. Statement'!R21+'ASSB Inc. Statement'!R21</f>
        <v>6181162.7799999993</v>
      </c>
      <c r="S21" s="165">
        <f t="shared" si="7"/>
        <v>2783300.0299999993</v>
      </c>
      <c r="T21" s="766">
        <f t="shared" si="3"/>
        <v>0.81913256502193899</v>
      </c>
      <c r="U21" s="782"/>
      <c r="V21" s="168">
        <f t="shared" si="8"/>
        <v>13591451</v>
      </c>
      <c r="W21" s="165">
        <f t="shared" si="9"/>
        <v>16382561.74</v>
      </c>
      <c r="X21" s="165">
        <f t="shared" si="10"/>
        <v>2791110.74</v>
      </c>
      <c r="Y21" s="731">
        <f t="shared" si="4"/>
        <v>0.2053578194116287</v>
      </c>
      <c r="Z21" s="169"/>
      <c r="AA21" s="168">
        <f>'ADB Inc. Statement'!AA21+'ANT Inc Statement'!AA21+'ACC Inc Statement'!AA21+'PUC Inc. Statement'!AA21+'AASPA Inc. Statement'!AA21+'AFSC Inc. Statement'!AA21+'PSPF Inc. Statement'!AA21+'ATB Inc. Statement'!AA21+'ASSB Inc. Statement'!AA21</f>
        <v>14021451</v>
      </c>
      <c r="AB21" s="165">
        <f t="shared" si="12"/>
        <v>-2361110.7400000002</v>
      </c>
      <c r="AC21" s="731">
        <f t="shared" si="13"/>
        <v>-0.16839275336054738</v>
      </c>
      <c r="AD21" s="166"/>
      <c r="AE21" s="1178"/>
    </row>
    <row r="22" spans="1:33" x14ac:dyDescent="0.3">
      <c r="A22" s="170" t="s">
        <v>70</v>
      </c>
      <c r="B22" s="168">
        <f>'ADB Inc. Statement'!B22+'ATB Inc. Statement'!B22+'AASPA Inc. Statement'!B22+'ACC Inc Statement'!B22+'ANT Inc Statement'!B22+'PSPF Inc. Statement'!B22+'AFSC Inc. Statement'!B22+'PUC Inc. Statement'!B22+'ASSB Inc. Statement'!B22</f>
        <v>325000</v>
      </c>
      <c r="C22" s="165">
        <f>'ADB Inc. Statement'!C22+'ANT Inc Statement'!C22+'ACC Inc Statement'!C22+'PUC Inc. Statement'!C22+'AASPA Inc. Statement'!C22+'AFSC Inc. Statement'!C22+'PSPF Inc. Statement'!C22+'ATB Inc. Statement'!C22+'ASSB Inc. Statement'!C22</f>
        <v>302510.90999999997</v>
      </c>
      <c r="D22" s="165">
        <f t="shared" si="5"/>
        <v>-22489.090000000026</v>
      </c>
      <c r="E22" s="926">
        <f t="shared" si="0"/>
        <v>-6.9197200000000084E-2</v>
      </c>
      <c r="F22" s="166"/>
      <c r="G22" s="168">
        <f>'ADB Inc. Statement'!G22+'ANT Inc Statement'!G22+'ACC Inc Statement'!G22+'PUC Inc. Statement'!G23+'AASPA Inc. Statement'!G22+'AFSC Inc. Statement'!G22+'PSPF Inc. Statement'!G22+'ATB Inc. Statement'!G22+'ASSB Inc. Statement'!G22</f>
        <v>325000</v>
      </c>
      <c r="H22" s="165">
        <f>'ADB Inc. Statement'!H22+'ANT Inc Statement'!H22+'ACC Inc Statement'!H22+'PUC Inc. Statement'!H23+'AASPA Inc. Statement'!H22+'AFSC Inc. Statement'!H22+'PSPF Inc. Statement'!H22+'ATB Inc. Statement'!H22+'ASSB Inc. Statement'!H22</f>
        <v>540074.30000000005</v>
      </c>
      <c r="I22" s="165">
        <f t="shared" si="11"/>
        <v>215074.30000000005</v>
      </c>
      <c r="J22" s="926">
        <f t="shared" si="1"/>
        <v>0.66176707692307701</v>
      </c>
      <c r="K22" s="166"/>
      <c r="L22" s="165">
        <f>'ADB Inc. Statement'!L22+'ANT Inc Statement'!L22+'ACC Inc Statement'!L22+'PUC Inc. Statement'!L23+'AASPA Inc. Statement'!L22+'AFSC Inc. Statement'!L22+'PSPF Inc. Statement'!L22+'ATB Inc. Statement'!L22+'ASSB Inc. Statement'!L22</f>
        <v>325000</v>
      </c>
      <c r="M22" s="165">
        <f>'ADB Inc. Statement'!M22+'ANT Inc Statement'!M22+'ACC Inc Statement'!M22+'PUC Inc. Statement'!M23+'AASPA Inc. Statement'!M22+'AFSC Inc. Statement'!M22+'PSPF Inc. Statement'!M22+'ATB Inc. Statement'!M22+'ASSB Inc. Statement'!M22</f>
        <v>712612.6</v>
      </c>
      <c r="N22" s="165">
        <f t="shared" si="6"/>
        <v>387612.6</v>
      </c>
      <c r="O22" s="167">
        <f t="shared" si="2"/>
        <v>1.1926541538461537</v>
      </c>
      <c r="P22" s="166"/>
      <c r="Q22" s="165">
        <f>'ADB Inc. Statement'!Q22+'ANT Inc Statement'!Q22+'ACC Inc Statement'!Q22+'PUC Inc. Statement'!Q23+'AASPA Inc. Statement'!Q22+'AFSC Inc. Statement'!Q22+'PSPF Inc. Statement'!Q22+'ATB Inc. Statement'!Q22+'ASSB Inc. Statement'!Q22</f>
        <v>325000</v>
      </c>
      <c r="R22" s="165">
        <f>'ADB Inc. Statement'!R22+'ANT Inc Statement'!R22+'ACC Inc Statement'!R22+'PUC Inc. Statement'!R23+'AASPA Inc. Statement'!R22+'AFSC Inc. Statement'!R22+'PSPF Inc. Statement'!R22+'ATB Inc. Statement'!R22+'ASSB Inc. Statement'!R22</f>
        <v>1340912.3576779999</v>
      </c>
      <c r="S22" s="165">
        <f t="shared" si="7"/>
        <v>1015912.3576779999</v>
      </c>
      <c r="T22" s="766">
        <f t="shared" si="3"/>
        <v>3.1258841774707689</v>
      </c>
      <c r="U22" s="782"/>
      <c r="V22" s="168">
        <f t="shared" si="8"/>
        <v>1300000</v>
      </c>
      <c r="W22" s="165">
        <f t="shared" si="9"/>
        <v>2896110.1676779999</v>
      </c>
      <c r="X22" s="165">
        <f t="shared" si="10"/>
        <v>1596110.1676779999</v>
      </c>
      <c r="Y22" s="731">
        <f t="shared" si="4"/>
        <v>1.22777705206</v>
      </c>
      <c r="Z22" s="169"/>
      <c r="AA22" s="168">
        <f>'ADB Inc. Statement'!AA22+'ANT Inc Statement'!AA22+'ACC Inc Statement'!AA22+'PUC Inc. Statement'!AA22+'AASPA Inc. Statement'!AA22+'AFSC Inc. Statement'!AA22+'PSPF Inc. Statement'!AA22+'ATB Inc. Statement'!AA22+'ASSB Inc. Statement'!AA22</f>
        <v>1300000</v>
      </c>
      <c r="AB22" s="165">
        <f t="shared" si="12"/>
        <v>-1596110.1676779999</v>
      </c>
      <c r="AC22" s="731">
        <f t="shared" si="13"/>
        <v>-1.22777705206</v>
      </c>
      <c r="AD22" s="166"/>
      <c r="AE22" s="1178"/>
      <c r="AG22" s="173"/>
    </row>
    <row r="23" spans="1:33" x14ac:dyDescent="0.3">
      <c r="A23" s="170" t="s">
        <v>72</v>
      </c>
      <c r="B23" s="168">
        <f>'ADB Inc. Statement'!B23+'ATB Inc. Statement'!B23+'AASPA Inc. Statement'!B23+'ACC Inc Statement'!B23+'ANT Inc Statement'!B23+'PSPF Inc. Statement'!B23+'AFSC Inc. Statement'!B23+'PUC Inc. Statement'!B23+'ASSB Inc. Statement'!B23</f>
        <v>203.5</v>
      </c>
      <c r="C23" s="165">
        <f>'ADB Inc. Statement'!C23+'ANT Inc Statement'!C23+'ACC Inc Statement'!C23+'PUC Inc. Statement'!C23+'AASPA Inc. Statement'!C23+'AFSC Inc. Statement'!C23+'PSPF Inc. Statement'!C23+'ATB Inc. Statement'!C23+'ASSB Inc. Statement'!C23</f>
        <v>737.25</v>
      </c>
      <c r="D23" s="165">
        <f t="shared" si="5"/>
        <v>533.75</v>
      </c>
      <c r="E23" s="926">
        <f t="shared" si="0"/>
        <v>2.6228501228501226</v>
      </c>
      <c r="F23" s="166"/>
      <c r="G23" s="168">
        <f>'ADB Inc. Statement'!G23+'ANT Inc Statement'!G23+'ACC Inc Statement'!G23+'PUC Inc. Statement'!G24+'AASPA Inc. Statement'!G23+'AFSC Inc. Statement'!G23+'PSPF Inc. Statement'!G23+'ATB Inc. Statement'!G23+'ASSB Inc. Statement'!G23</f>
        <v>203.5</v>
      </c>
      <c r="H23" s="165">
        <f>'ADB Inc. Statement'!H23+'ANT Inc Statement'!H23+'ACC Inc Statement'!H23+'PUC Inc. Statement'!H24+'AASPA Inc. Statement'!H23+'AFSC Inc. Statement'!H23+'PSPF Inc. Statement'!H23+'ATB Inc. Statement'!H23+'ASSB Inc. Statement'!H23</f>
        <v>76.790000000000006</v>
      </c>
      <c r="I23" s="165">
        <f t="shared" si="11"/>
        <v>-126.71</v>
      </c>
      <c r="J23" s="926">
        <f t="shared" si="1"/>
        <v>-0.62265356265356264</v>
      </c>
      <c r="K23" s="166"/>
      <c r="L23" s="165">
        <f>'ADB Inc. Statement'!L23+'ANT Inc Statement'!L23+'ACC Inc Statement'!L23+'PUC Inc. Statement'!L24+'AASPA Inc. Statement'!L23+'AFSC Inc. Statement'!L23+'PSPF Inc. Statement'!L23+'ATB Inc. Statement'!L23+'ASSB Inc. Statement'!L23</f>
        <v>203.5</v>
      </c>
      <c r="M23" s="165">
        <f>'ADB Inc. Statement'!M23+'ANT Inc Statement'!M23+'ACC Inc Statement'!M23+'PUC Inc. Statement'!M24+'AASPA Inc. Statement'!M23+'AFSC Inc. Statement'!M23+'PSPF Inc. Statement'!M23+'ATB Inc. Statement'!M23+'ASSB Inc. Statement'!M23</f>
        <v>0</v>
      </c>
      <c r="N23" s="165">
        <f t="shared" si="6"/>
        <v>-203.5</v>
      </c>
      <c r="O23" s="167">
        <f t="shared" si="2"/>
        <v>-1</v>
      </c>
      <c r="P23" s="166"/>
      <c r="Q23" s="165">
        <f>'ADB Inc. Statement'!Q23+'ANT Inc Statement'!Q23+'ACC Inc Statement'!Q23+'PUC Inc. Statement'!Q24+'AASPA Inc. Statement'!Q23+'AFSC Inc. Statement'!Q23+'PSPF Inc. Statement'!Q23+'ATB Inc. Statement'!Q23+'ASSB Inc. Statement'!Q23</f>
        <v>0</v>
      </c>
      <c r="R23" s="165">
        <f>'ADB Inc. Statement'!R23+'ANT Inc Statement'!R23+'ACC Inc Statement'!R23+'PUC Inc. Statement'!R24+'AASPA Inc. Statement'!R23+'AFSC Inc. Statement'!R23+'PSPF Inc. Statement'!R23+'ATB Inc. Statement'!R23+'ASSB Inc. Statement'!R23</f>
        <v>0</v>
      </c>
      <c r="S23" s="165">
        <f t="shared" si="7"/>
        <v>0</v>
      </c>
      <c r="T23" s="766" t="str">
        <f t="shared" si="3"/>
        <v>-</v>
      </c>
      <c r="U23" s="782"/>
      <c r="V23" s="168">
        <f t="shared" si="8"/>
        <v>610.5</v>
      </c>
      <c r="W23" s="165">
        <f t="shared" si="9"/>
        <v>814.04</v>
      </c>
      <c r="X23" s="165">
        <f t="shared" si="10"/>
        <v>203.53999999999996</v>
      </c>
      <c r="Y23" s="731">
        <f t="shared" si="4"/>
        <v>0.33339885339885333</v>
      </c>
      <c r="Z23" s="169"/>
      <c r="AA23" s="168">
        <f>'ADB Inc. Statement'!AA23+'ANT Inc Statement'!AA23+'ACC Inc Statement'!AA23+'PUC Inc. Statement'!AA23+'AASPA Inc. Statement'!AA23+'AFSC Inc. Statement'!AA23+'PSPF Inc. Statement'!AA23+'ATB Inc. Statement'!AA23+'ASSB Inc. Statement'!AA23</f>
        <v>814</v>
      </c>
      <c r="AB23" s="165">
        <f t="shared" si="12"/>
        <v>-3.999999999996362E-2</v>
      </c>
      <c r="AC23" s="731">
        <f t="shared" si="13"/>
        <v>-4.9140049140004451E-5</v>
      </c>
      <c r="AD23" s="166"/>
      <c r="AE23" s="1179"/>
    </row>
    <row r="24" spans="1:33" x14ac:dyDescent="0.3">
      <c r="A24" s="170" t="s">
        <v>131</v>
      </c>
      <c r="B24" s="168">
        <f>'ADB Inc. Statement'!B24+'ATB Inc. Statement'!B24+'AASPA Inc. Statement'!B24+'ACC Inc Statement'!B24+'ANT Inc Statement'!B24+'PSPF Inc. Statement'!B24+'AFSC Inc. Statement'!B24+'PUC Inc. Statement'!B24+'ASSB Inc. Statement'!B24</f>
        <v>12769023.210000001</v>
      </c>
      <c r="C24" s="165">
        <f>'ADB Inc. Statement'!C24+'ANT Inc Statement'!C24+'ACC Inc Statement'!C24+'PUC Inc. Statement'!C24+'AASPA Inc. Statement'!C24+'AFSC Inc. Statement'!C24+'PSPF Inc. Statement'!C24+'ATB Inc. Statement'!C24+'ASSB Inc. Statement'!C24</f>
        <v>12770094.25</v>
      </c>
      <c r="D24" s="165">
        <f t="shared" si="5"/>
        <v>1071.0399999991059</v>
      </c>
      <c r="E24" s="926">
        <f t="shared" si="0"/>
        <v>8.3877989912362758E-5</v>
      </c>
      <c r="F24" s="166"/>
      <c r="G24" s="168">
        <f>'ADB Inc. Statement'!G24+'ANT Inc Statement'!G24+'ACC Inc Statement'!G24+'PUC Inc. Statement'!G25+'AASPA Inc. Statement'!G24+'AFSC Inc. Statement'!G24+'PSPF Inc. Statement'!G24+'ATB Inc. Statement'!G24+'ASSB Inc. Statement'!G24</f>
        <v>13027226.210000001</v>
      </c>
      <c r="H24" s="165">
        <f>'ADB Inc. Statement'!H24+'ANT Inc Statement'!H24+'ACC Inc Statement'!H24+'PUC Inc. Statement'!H25+'AASPA Inc. Statement'!H24+'AFSC Inc. Statement'!H24+'PSPF Inc. Statement'!H24+'ATB Inc. Statement'!H24+'ASSB Inc. Statement'!H24</f>
        <v>14659361.899999999</v>
      </c>
      <c r="I24" s="165">
        <f t="shared" si="11"/>
        <v>1632135.6899999976</v>
      </c>
      <c r="J24" s="927">
        <f t="shared" si="1"/>
        <v>0.12528650870798055</v>
      </c>
      <c r="K24" s="166"/>
      <c r="L24" s="165">
        <f>'ADB Inc. Statement'!L24+'ANT Inc Statement'!L24+'ACC Inc Statement'!L24+'PUC Inc. Statement'!L25+'AASPA Inc. Statement'!L24+'AFSC Inc. Statement'!L24+'PSPF Inc. Statement'!L24+'ATB Inc. Statement'!L24+'ASSB Inc. Statement'!L24</f>
        <v>13027226.210000001</v>
      </c>
      <c r="M24" s="165">
        <f>'ADB Inc. Statement'!M24+'ANT Inc Statement'!M24+'ACC Inc Statement'!M24+'PUC Inc. Statement'!M25+'AASPA Inc. Statement'!M24+'AFSC Inc. Statement'!M24+'PSPF Inc. Statement'!M24+'ATB Inc. Statement'!M24+'ASSB Inc. Statement'!M24</f>
        <v>12958231.24</v>
      </c>
      <c r="N24" s="165">
        <f t="shared" si="6"/>
        <v>-68994.970000000671</v>
      </c>
      <c r="O24" s="167">
        <f t="shared" si="2"/>
        <v>-5.2962133986004271E-3</v>
      </c>
      <c r="P24" s="166"/>
      <c r="Q24" s="165">
        <f>'ADB Inc. Statement'!Q24+'ANT Inc Statement'!Q24+'ACC Inc Statement'!Q24+'PUC Inc. Statement'!Q25+'AASPA Inc. Statement'!Q24+'AFSC Inc. Statement'!Q24+'PSPF Inc. Statement'!Q24+'ATB Inc. Statement'!Q24+'ASSB Inc. Statement'!Q24</f>
        <v>2947225.96</v>
      </c>
      <c r="R24" s="165">
        <f>'ADB Inc. Statement'!R24+'ANT Inc Statement'!R24+'ACC Inc Statement'!R24+'PUC Inc. Statement'!R25+'AASPA Inc. Statement'!R24+'AFSC Inc. Statement'!R24+'PSPF Inc. Statement'!R24+'ATB Inc. Statement'!R24+'ASSB Inc. Statement'!R24</f>
        <v>3168174.17</v>
      </c>
      <c r="S24" s="165">
        <f t="shared" si="7"/>
        <v>220948.20999999996</v>
      </c>
      <c r="T24" s="766">
        <f t="shared" si="3"/>
        <v>7.4968194837697469E-2</v>
      </c>
      <c r="U24" s="924"/>
      <c r="V24" s="168">
        <f t="shared" si="8"/>
        <v>41770701.590000004</v>
      </c>
      <c r="W24" s="165">
        <f t="shared" si="9"/>
        <v>43555861.560000002</v>
      </c>
      <c r="X24" s="165">
        <f t="shared" si="10"/>
        <v>1785159.9699999988</v>
      </c>
      <c r="Y24" s="731">
        <f t="shared" si="4"/>
        <v>4.273713157902452E-2</v>
      </c>
      <c r="Z24" s="169"/>
      <c r="AA24" s="168">
        <f>'ADB Inc. Statement'!AA24+'ANT Inc Statement'!AA24+'ACC Inc Statement'!AA24+'PUC Inc. Statement'!AA24+'AASPA Inc. Statement'!AA24+'AFSC Inc. Statement'!AA24+'PSPF Inc. Statement'!AA24+'ATB Inc. Statement'!AA24+'ASSB Inc. Statement'!AA24</f>
        <v>51076092.840000004</v>
      </c>
      <c r="AB24" s="165">
        <f t="shared" si="12"/>
        <v>7520231.2800000012</v>
      </c>
      <c r="AC24" s="731">
        <f t="shared" si="13"/>
        <v>0.14723583700025245</v>
      </c>
      <c r="AD24" s="166"/>
      <c r="AE24" s="1178"/>
    </row>
    <row r="25" spans="1:33" x14ac:dyDescent="0.3">
      <c r="A25" s="174" t="s">
        <v>73</v>
      </c>
      <c r="B25" s="175">
        <f>SUM(B14:B24)</f>
        <v>36825015.458257303</v>
      </c>
      <c r="C25" s="176">
        <f>SUM(C14:C24)</f>
        <v>37108502.868351996</v>
      </c>
      <c r="D25" s="176">
        <f>SUM(D14:D24)</f>
        <v>283487.41009469697</v>
      </c>
      <c r="E25" s="177">
        <f t="shared" si="0"/>
        <v>7.6982292218191143E-3</v>
      </c>
      <c r="F25" s="178"/>
      <c r="G25" s="175">
        <f>SUM(G14:G24)</f>
        <v>33954818.791518375</v>
      </c>
      <c r="H25" s="176">
        <f>SUM(H14:H24)</f>
        <v>33821436.815576002</v>
      </c>
      <c r="I25" s="176">
        <f>SUM(I14:I24)</f>
        <v>-133381.9759423784</v>
      </c>
      <c r="J25" s="177">
        <f t="shared" si="1"/>
        <v>-3.9282193423366488E-3</v>
      </c>
      <c r="K25" s="178"/>
      <c r="L25" s="175">
        <f>SUM(L14:L24)</f>
        <v>31444474.4027481</v>
      </c>
      <c r="M25" s="176">
        <f>SUM(M14:M24)</f>
        <v>38071098.235197999</v>
      </c>
      <c r="N25" s="176">
        <f>SUM(N14:N24)</f>
        <v>6626623.8324498981</v>
      </c>
      <c r="O25" s="179">
        <f t="shared" si="2"/>
        <v>0.21074048647067742</v>
      </c>
      <c r="P25" s="178"/>
      <c r="Q25" s="175">
        <f>SUM(Q14:Q24)</f>
        <v>16768153.967549302</v>
      </c>
      <c r="R25" s="176">
        <f>SUM(R14:R24)</f>
        <v>21602312.912201993</v>
      </c>
      <c r="S25" s="176">
        <f>SUM(S14:S24)</f>
        <v>4834158.9446526971</v>
      </c>
      <c r="T25" s="1210">
        <f t="shared" si="3"/>
        <v>0.28829404560621524</v>
      </c>
      <c r="U25" s="784"/>
      <c r="V25" s="175">
        <f>SUM(V14:V24)</f>
        <v>118992462.62007308</v>
      </c>
      <c r="W25" s="176">
        <f>SUM(W14:W24)</f>
        <v>130603350.831328</v>
      </c>
      <c r="X25" s="176">
        <f>SUM(X14:X24)</f>
        <v>11610888.211254919</v>
      </c>
      <c r="Y25" s="180">
        <f t="shared" si="4"/>
        <v>9.757666961080487E-2</v>
      </c>
      <c r="Z25" s="163"/>
      <c r="AA25" s="181">
        <f>SUM(AA14:AA24)</f>
        <v>137064848.34245521</v>
      </c>
      <c r="AB25" s="182">
        <f>SUM(AB14:AB24)</f>
        <v>6461497.5111272084</v>
      </c>
      <c r="AC25" s="183">
        <f>IF(ISERROR(AB25/AA25),"-",AB25/AA25)</f>
        <v>4.7141900999906401E-2</v>
      </c>
      <c r="AD25" s="178"/>
      <c r="AE25" s="1181"/>
    </row>
    <row r="26" spans="1:33" x14ac:dyDescent="0.3">
      <c r="A26" s="184"/>
      <c r="B26" s="185"/>
      <c r="C26" s="186"/>
      <c r="D26" s="186"/>
      <c r="E26" s="187"/>
      <c r="F26" s="166"/>
      <c r="G26" s="188"/>
      <c r="H26" s="189"/>
      <c r="I26" s="189"/>
      <c r="J26" s="190"/>
      <c r="K26" s="166"/>
      <c r="L26" s="185"/>
      <c r="M26" s="186"/>
      <c r="N26" s="186"/>
      <c r="O26" s="191"/>
      <c r="P26" s="166"/>
      <c r="Q26" s="188"/>
      <c r="R26" s="189"/>
      <c r="S26" s="189"/>
      <c r="T26" s="1211" t="str">
        <f t="shared" si="3"/>
        <v>-</v>
      </c>
      <c r="U26" s="782"/>
      <c r="V26" s="185"/>
      <c r="W26" s="186"/>
      <c r="X26" s="186"/>
      <c r="Y26" s="191"/>
      <c r="Z26" s="169"/>
      <c r="AA26" s="185"/>
      <c r="AB26" s="186"/>
      <c r="AC26" s="191"/>
      <c r="AD26" s="166"/>
      <c r="AE26" s="1178"/>
    </row>
    <row r="27" spans="1:33" x14ac:dyDescent="0.3">
      <c r="A27" s="158" t="s">
        <v>74</v>
      </c>
      <c r="B27" s="168">
        <f>'ADB Inc. Statement'!B27+'ATB Inc. Statement'!B27+'AASPA Inc. Statement'!B27+'ACC Inc Statement'!B27+'ANT Inc Statement'!B27+'PSPF Inc. Statement'!B27+'AFSC Inc. Statement'!B27+'PUC Inc. Statement'!B27+'ASSB Inc. Statement'!B27</f>
        <v>0</v>
      </c>
      <c r="C27" s="165">
        <f>'ADB Inc. Statement'!C27+'ANT Inc Statement'!C27+'ACC Inc Statement'!C27+'PUC Inc. Statement'!C27+'AASPA Inc. Statement'!C27+'AFSC Inc. Statement'!C27+'PSPF Inc. Statement'!C27+'ATB Inc. Statement'!C27+'ASSB Inc. Statement'!C27</f>
        <v>0</v>
      </c>
      <c r="D27" s="193">
        <f>C27-B27</f>
        <v>0</v>
      </c>
      <c r="E27" s="194" t="str">
        <f>IF(ISERROR(D27/B27),"-",D27/B27)</f>
        <v>-</v>
      </c>
      <c r="F27" s="166"/>
      <c r="G27" s="168">
        <f>'ADB Inc. Statement'!G27+'ANT Inc Statement'!G27+'ACC Inc Statement'!G27+'PUC Inc. Statement'!G27+'AASPA Inc. Statement'!G27+'AFSC Inc. Statement'!G27+'PSPF Inc. Statement'!G27+'ATB Inc. Statement'!G27+'ASSB Inc. Statement'!G27</f>
        <v>0</v>
      </c>
      <c r="H27" s="165">
        <f>'ADB Inc. Statement'!H27+'ANT Inc Statement'!H27+'ACC Inc Statement'!H27+'PUC Inc. Statement'!H27+'AASPA Inc. Statement'!H27+'AFSC Inc. Statement'!H27+'PSPF Inc. Statement'!H27+'ATB Inc. Statement'!H27+'ASSB Inc. Statement'!H27</f>
        <v>0</v>
      </c>
      <c r="I27" s="193">
        <f>H27-G27</f>
        <v>0</v>
      </c>
      <c r="J27" s="195" t="str">
        <f>IF(ISERROR(I27/G27),"-",I27/G27)</f>
        <v>-</v>
      </c>
      <c r="K27" s="166"/>
      <c r="L27" s="165">
        <f>'ADB Inc. Statement'!L27+'ANT Inc Statement'!L27+'ACC Inc Statement'!L27+'PUC Inc. Statement'!L27+'AASPA Inc. Statement'!L27+'AFSC Inc. Statement'!L27+'PSPF Inc. Statement'!L27+'ATB Inc. Statement'!L27+'ASSB Inc. Statement'!L27</f>
        <v>0</v>
      </c>
      <c r="M27" s="165">
        <f>'ADB Inc. Statement'!M27+'ANT Inc Statement'!M27+'ACC Inc Statement'!M27+'PUC Inc. Statement'!M27+'AASPA Inc. Statement'!M27+'AFSC Inc. Statement'!M27+'PSPF Inc. Statement'!M27+'ATB Inc. Statement'!M27+'ASSB Inc. Statement'!M27</f>
        <v>0</v>
      </c>
      <c r="N27" s="193">
        <f>M27-L27</f>
        <v>0</v>
      </c>
      <c r="O27" s="196" t="str">
        <f>IF(ISERROR(N27/L27),"-",N27/L27)</f>
        <v>-</v>
      </c>
      <c r="P27" s="166"/>
      <c r="Q27" s="165">
        <f>'ADB Inc. Statement'!Q27+'ANT Inc Statement'!Q27+'ACC Inc Statement'!Q27+'PUC Inc. Statement'!Q27+'AASPA Inc. Statement'!Q27+'AFSC Inc. Statement'!Q27+'PSPF Inc. Statement'!Q27+'ATB Inc. Statement'!Q27+'ASSB Inc. Statement'!Q27</f>
        <v>0</v>
      </c>
      <c r="R27" s="165">
        <f>'ADB Inc. Statement'!R27+'ANT Inc Statement'!R27+'ACC Inc Statement'!R27+'PUC Inc. Statement'!R27+'AASPA Inc. Statement'!R27+'AFSC Inc. Statement'!R27+'PSPF Inc. Statement'!R27+'ATB Inc. Statement'!R27+'ASSB Inc. Statement'!R27</f>
        <v>0</v>
      </c>
      <c r="S27" s="193">
        <f>R27-Q27</f>
        <v>0</v>
      </c>
      <c r="T27" s="1212" t="str">
        <f>IF(ISERROR(S27/Q27),"-",S27/Q27)</f>
        <v>-</v>
      </c>
      <c r="U27" s="782"/>
      <c r="V27" s="198">
        <f>B27+G27+L27+Q27</f>
        <v>0</v>
      </c>
      <c r="W27" s="193">
        <f>C27+H27+M27+R27</f>
        <v>0</v>
      </c>
      <c r="X27" s="193">
        <f>W27-V27</f>
        <v>0</v>
      </c>
      <c r="Y27" s="199"/>
      <c r="Z27" s="169"/>
      <c r="AA27" s="168">
        <f>'ADB Inc. Statement'!AA27+'ANT Inc Statement'!AA27+'ACC Inc Statement'!AA27+'PUC Inc. Statement'!AA27+'AASPA Inc. Statement'!AA27+'AFSC Inc. Statement'!AA27+'PSPF Inc. Statement'!AA27+'ATB Inc. Statement'!AA27+'ASSB Inc. Statement'!AA27</f>
        <v>0</v>
      </c>
      <c r="AB27" s="193"/>
      <c r="AC27" s="199"/>
      <c r="AD27" s="166"/>
      <c r="AE27" s="1178"/>
    </row>
    <row r="28" spans="1:33" x14ac:dyDescent="0.3">
      <c r="A28" s="200"/>
      <c r="B28" s="201"/>
      <c r="C28" s="202"/>
      <c r="D28" s="202"/>
      <c r="E28" s="203"/>
      <c r="F28" s="160"/>
      <c r="G28" s="204"/>
      <c r="H28" s="205"/>
      <c r="I28" s="205"/>
      <c r="J28" s="206"/>
      <c r="K28" s="160"/>
      <c r="L28" s="201"/>
      <c r="M28" s="202"/>
      <c r="N28" s="202"/>
      <c r="O28" s="207"/>
      <c r="P28" s="160"/>
      <c r="Q28" s="204"/>
      <c r="R28" s="205"/>
      <c r="S28" s="205"/>
      <c r="T28" s="1213" t="str">
        <f t="shared" si="3"/>
        <v>-</v>
      </c>
      <c r="U28" s="781"/>
      <c r="V28" s="201"/>
      <c r="W28" s="202"/>
      <c r="X28" s="202"/>
      <c r="Y28" s="207"/>
      <c r="Z28" s="163"/>
      <c r="AA28" s="201"/>
      <c r="AB28" s="202"/>
      <c r="AC28" s="207"/>
      <c r="AD28" s="160"/>
      <c r="AE28" s="1178"/>
    </row>
    <row r="29" spans="1:33" x14ac:dyDescent="0.3">
      <c r="A29" s="174" t="s">
        <v>75</v>
      </c>
      <c r="B29" s="209">
        <f>SUM(B27:B28)</f>
        <v>0</v>
      </c>
      <c r="C29" s="210">
        <f>C25+C27</f>
        <v>37108502.868351996</v>
      </c>
      <c r="D29" s="210">
        <f>D25+D27</f>
        <v>283487.41009469697</v>
      </c>
      <c r="E29" s="211" t="str">
        <f>IF(ISERROR(D29/B29),"-",D29/B29)</f>
        <v>-</v>
      </c>
      <c r="F29" s="178"/>
      <c r="G29" s="209">
        <f>G25+G27</f>
        <v>33954818.791518375</v>
      </c>
      <c r="H29" s="210">
        <f>H25+H27</f>
        <v>33821436.815576002</v>
      </c>
      <c r="I29" s="210">
        <f>I25+I27</f>
        <v>-133381.9759423784</v>
      </c>
      <c r="J29" s="211">
        <f>IF(ISERROR(I29/G29),"-",I29/G29)</f>
        <v>-3.9282193423366488E-3</v>
      </c>
      <c r="K29" s="178"/>
      <c r="L29" s="209">
        <f>L25+L27</f>
        <v>31444474.4027481</v>
      </c>
      <c r="M29" s="210">
        <f>M25+M27</f>
        <v>38071098.235197999</v>
      </c>
      <c r="N29" s="210">
        <f>N25+N27</f>
        <v>6626623.8324498981</v>
      </c>
      <c r="O29" s="212">
        <f>IF(ISERROR(N29/L29),"-",N29/L29)</f>
        <v>0.21074048647067742</v>
      </c>
      <c r="P29" s="178"/>
      <c r="Q29" s="209">
        <f>Q25+Q27</f>
        <v>16768153.967549302</v>
      </c>
      <c r="R29" s="210">
        <f>R25+R27</f>
        <v>21602312.912201993</v>
      </c>
      <c r="S29" s="210">
        <f>S25+S27</f>
        <v>4834158.9446526971</v>
      </c>
      <c r="T29" s="1214">
        <f t="shared" si="3"/>
        <v>0.28829404560621524</v>
      </c>
      <c r="U29" s="784"/>
      <c r="V29" s="209">
        <f>V25+V27</f>
        <v>118992462.62007308</v>
      </c>
      <c r="W29" s="210">
        <f>W25+W27</f>
        <v>130603350.831328</v>
      </c>
      <c r="X29" s="210">
        <f>X25+X27</f>
        <v>11610888.211254919</v>
      </c>
      <c r="Y29" s="212">
        <f>IF(ISERROR(X29/V29),"-",X29/V29)</f>
        <v>9.757666961080487E-2</v>
      </c>
      <c r="Z29" s="163"/>
      <c r="AA29" s="213">
        <f>AA25+AA27</f>
        <v>137064848.34245521</v>
      </c>
      <c r="AB29" s="214">
        <f>AA29-W29</f>
        <v>6461497.5111272037</v>
      </c>
      <c r="AC29" s="215">
        <f>IF(ISERROR(AB29/AA29),"-",AB29/AA29)</f>
        <v>4.7141900999906367E-2</v>
      </c>
      <c r="AD29" s="178"/>
      <c r="AE29" s="1181"/>
    </row>
    <row r="30" spans="1:33" x14ac:dyDescent="0.3">
      <c r="A30" s="216"/>
      <c r="B30" s="217"/>
      <c r="C30" s="218"/>
      <c r="D30" s="218"/>
      <c r="E30" s="219"/>
      <c r="F30" s="160"/>
      <c r="G30" s="220"/>
      <c r="H30" s="221"/>
      <c r="I30" s="221"/>
      <c r="J30" s="222"/>
      <c r="K30" s="160"/>
      <c r="L30" s="217"/>
      <c r="M30" s="218"/>
      <c r="N30" s="218"/>
      <c r="O30" s="223"/>
      <c r="P30" s="160"/>
      <c r="Q30" s="220"/>
      <c r="R30" s="221"/>
      <c r="S30" s="221"/>
      <c r="T30" s="1215"/>
      <c r="U30" s="781"/>
      <c r="V30" s="185"/>
      <c r="W30" s="186"/>
      <c r="X30" s="218"/>
      <c r="Y30" s="223"/>
      <c r="Z30" s="163"/>
      <c r="AA30" s="185"/>
      <c r="AB30" s="218"/>
      <c r="AC30" s="223"/>
      <c r="AD30" s="160"/>
      <c r="AE30" s="1178"/>
    </row>
    <row r="31" spans="1:33" x14ac:dyDescent="0.3">
      <c r="A31" s="158" t="s">
        <v>76</v>
      </c>
      <c r="B31" s="198"/>
      <c r="C31" s="193"/>
      <c r="D31" s="193"/>
      <c r="E31" s="225"/>
      <c r="F31" s="166"/>
      <c r="G31" s="226"/>
      <c r="H31" s="227"/>
      <c r="I31" s="227"/>
      <c r="J31" s="228"/>
      <c r="K31" s="166"/>
      <c r="L31" s="198"/>
      <c r="M31" s="193"/>
      <c r="N31" s="193"/>
      <c r="O31" s="199"/>
      <c r="P31" s="166"/>
      <c r="Q31" s="226"/>
      <c r="R31" s="227"/>
      <c r="S31" s="227"/>
      <c r="T31" s="1216"/>
      <c r="U31" s="782"/>
      <c r="V31" s="198"/>
      <c r="W31" s="193"/>
      <c r="X31" s="193"/>
      <c r="Y31" s="199"/>
      <c r="Z31" s="169"/>
      <c r="AA31" s="198"/>
      <c r="AB31" s="193"/>
      <c r="AC31" s="199"/>
      <c r="AD31" s="166"/>
      <c r="AE31" s="1178"/>
    </row>
    <row r="32" spans="1:33" x14ac:dyDescent="0.3">
      <c r="A32" s="158" t="s">
        <v>77</v>
      </c>
      <c r="B32" s="198"/>
      <c r="C32" s="193"/>
      <c r="D32" s="193"/>
      <c r="E32" s="225"/>
      <c r="F32" s="166"/>
      <c r="G32" s="226"/>
      <c r="H32" s="227"/>
      <c r="I32" s="227"/>
      <c r="J32" s="228"/>
      <c r="K32" s="166"/>
      <c r="L32" s="198"/>
      <c r="M32" s="193"/>
      <c r="N32" s="193"/>
      <c r="O32" s="199"/>
      <c r="P32" s="166"/>
      <c r="Q32" s="226"/>
      <c r="R32" s="227"/>
      <c r="S32" s="227"/>
      <c r="T32" s="1216"/>
      <c r="U32" s="782"/>
      <c r="V32" s="198"/>
      <c r="W32" s="193"/>
      <c r="X32" s="193"/>
      <c r="Y32" s="199"/>
      <c r="Z32" s="169"/>
      <c r="AA32" s="198"/>
      <c r="AB32" s="193"/>
      <c r="AC32" s="199"/>
      <c r="AD32" s="166"/>
      <c r="AE32" s="1178"/>
    </row>
    <row r="33" spans="1:31" x14ac:dyDescent="0.3">
      <c r="A33" s="170" t="s">
        <v>78</v>
      </c>
      <c r="B33" s="168">
        <f>'ADB Inc. Statement'!B33+'ATB Inc. Statement'!B33+'AASPA Inc. Statement'!B33+'ACC Inc Statement'!B33+'ANT Inc Statement'!B33+'PSPF Inc. Statement'!B33+'AFSC Inc. Statement'!B33+'PUC Inc. Statement'!B33+'ASSB Inc. Statement'!B33</f>
        <v>6418807.1029780004</v>
      </c>
      <c r="C33" s="165">
        <f>'ADB Inc. Statement'!C33+'ANT Inc Statement'!C33+'ACC Inc Statement'!C33+'PUC Inc. Statement'!C33+'AASPA Inc. Statement'!C33+'AFSC Inc. Statement'!C33+'PSPF Inc. Statement'!C33+'ATB Inc. Statement'!C33+'ASSB Inc. Statement'!C33</f>
        <v>5293903.4659780003</v>
      </c>
      <c r="D33" s="193">
        <f>C33-B33</f>
        <v>-1124903.6370000001</v>
      </c>
      <c r="E33" s="194">
        <f t="shared" ref="E33:E41" si="14">IF(ISERROR(D33/B33),"-",D33/B33)</f>
        <v>-0.17525119838514885</v>
      </c>
      <c r="F33" s="171"/>
      <c r="G33" s="168">
        <f>'ADB Inc. Statement'!G33+'ANT Inc Statement'!G33+'ACC Inc Statement'!G33+'PUC Inc. Statement'!G33+'AASPA Inc. Statement'!G33+'AFSC Inc. Statement'!G33+'PSPF Inc. Statement'!G33+'ATB Inc. Statement'!G33+'ASSB Inc. Statement'!G33</f>
        <v>6557908.1876019994</v>
      </c>
      <c r="H33" s="165">
        <f>'ADB Inc. Statement'!H33+'ANT Inc Statement'!H33+'ACC Inc Statement'!H33+'PUC Inc. Statement'!H33+'AASPA Inc. Statement'!H33+'AFSC Inc. Statement'!H33+'PSPF Inc. Statement'!H33+'ATB Inc. Statement'!H33+'ASSB Inc. Statement'!H33</f>
        <v>5423604.8522660006</v>
      </c>
      <c r="I33" s="193">
        <f>H33-G33</f>
        <v>-1134303.3353359988</v>
      </c>
      <c r="J33" s="195">
        <f t="shared" ref="J33:J41" si="15">IF(ISERROR(I33/G33),"-",I33/G33)</f>
        <v>-0.17296724853215342</v>
      </c>
      <c r="K33" s="171"/>
      <c r="L33" s="165">
        <f>'ADB Inc. Statement'!L33+'ANT Inc Statement'!L33+'ACC Inc Statement'!L33+'PUC Inc. Statement'!L33+'AASPA Inc. Statement'!L33+'AFSC Inc. Statement'!L33+'PSPF Inc. Statement'!L33+'ATB Inc. Statement'!L33+'ASSB Inc. Statement'!L33</f>
        <v>6540300.3793240003</v>
      </c>
      <c r="M33" s="165">
        <f>'ADB Inc. Statement'!M33+'ANT Inc Statement'!M33+'ACC Inc Statement'!M33+'PUC Inc. Statement'!M33+'AASPA Inc. Statement'!M33+'AFSC Inc. Statement'!M33+'PSPF Inc. Statement'!M33+'ATB Inc. Statement'!M33+'ASSB Inc. Statement'!M33</f>
        <v>5458403.0010700002</v>
      </c>
      <c r="N33" s="193">
        <f>M33-L33</f>
        <v>-1081897.3782540001</v>
      </c>
      <c r="O33" s="196">
        <f t="shared" ref="O33:O41" si="16">IF(ISERROR(N33/L33),"-",N33/L33)</f>
        <v>-0.16542013600387939</v>
      </c>
      <c r="P33" s="171"/>
      <c r="Q33" s="165">
        <f>'ADB Inc. Statement'!Q33+'ANT Inc Statement'!Q33+'ACC Inc Statement'!Q33+'PUC Inc. Statement'!Q33+'AASPA Inc. Statement'!Q33+'AFSC Inc. Statement'!Q33+'PSPF Inc. Statement'!Q33+'ATB Inc. Statement'!Q33+'ASSB Inc. Statement'!Q33</f>
        <v>5185736.8315679999</v>
      </c>
      <c r="R33" s="165">
        <f>'ADB Inc. Statement'!R33+'ANT Inc Statement'!R33+'ACC Inc Statement'!R33+'PUC Inc. Statement'!R33+'AASPA Inc. Statement'!R33+'AFSC Inc. Statement'!R33+'PSPF Inc. Statement'!R33+'ATB Inc. Statement'!R33+'ASSB Inc. Statement'!R33</f>
        <v>4843975.3622959992</v>
      </c>
      <c r="S33" s="193">
        <f>R33-Q33</f>
        <v>-341761.46927200072</v>
      </c>
      <c r="T33" s="1212">
        <f t="shared" ref="T33:T41" si="17">IF(ISERROR(S33/Q33),"-",S33/Q33)</f>
        <v>-6.590412903168151E-2</v>
      </c>
      <c r="U33" s="783"/>
      <c r="V33" s="198">
        <f t="shared" ref="V33:W40" si="18">B33+G33+L33+Q33</f>
        <v>24702752.501472</v>
      </c>
      <c r="W33" s="193">
        <f t="shared" si="18"/>
        <v>21019886.681609999</v>
      </c>
      <c r="X33" s="193">
        <f>W33-V33</f>
        <v>-3682865.8198620006</v>
      </c>
      <c r="Y33" s="196">
        <f t="shared" ref="Y33:Y41" si="19">IF(ISERROR(X33/V33),"-",X33/V33)</f>
        <v>-0.14908726546333426</v>
      </c>
      <c r="Z33" s="169"/>
      <c r="AA33" s="168">
        <f>'ADB Inc. Statement'!AA33+'ANT Inc Statement'!AA33+'ACC Inc Statement'!AA33+'PUC Inc. Statement'!AA33+'AASPA Inc. Statement'!AA33+'AFSC Inc. Statement'!AA33+'PSPF Inc. Statement'!AA33+'ATB Inc. Statement'!AA33+'ASSB Inc. Statement'!AA33</f>
        <v>25827802.551472001</v>
      </c>
      <c r="AB33" s="193">
        <f>AA33-W33</f>
        <v>4807915.8698620014</v>
      </c>
      <c r="AC33" s="196">
        <f t="shared" ref="AC33:AC41" si="20">IF(ISERROR(AB33/AA33),"-",AB33/AA33)</f>
        <v>0.18615272670914795</v>
      </c>
      <c r="AD33" s="171"/>
      <c r="AE33" s="1179"/>
    </row>
    <row r="34" spans="1:31" x14ac:dyDescent="0.3">
      <c r="A34" s="170" t="s">
        <v>79</v>
      </c>
      <c r="B34" s="168">
        <f>'ADB Inc. Statement'!B34+'ATB Inc. Statement'!B34+'AASPA Inc. Statement'!B34+'ACC Inc Statement'!B34+'ANT Inc Statement'!B34+'PSPF Inc. Statement'!B34+'AFSC Inc. Statement'!B34+'PUC Inc. Statement'!B34+'ASSB Inc. Statement'!B34</f>
        <v>239499.52000000002</v>
      </c>
      <c r="C34" s="165">
        <f>'ADB Inc. Statement'!C34+'ANT Inc Statement'!C34+'ACC Inc Statement'!C34+'PUC Inc. Statement'!C34+'AASPA Inc. Statement'!C34+'AFSC Inc. Statement'!C34+'PSPF Inc. Statement'!C34+'ATB Inc. Statement'!C34+'ASSB Inc. Statement'!C34</f>
        <v>181927.53</v>
      </c>
      <c r="D34" s="193">
        <f t="shared" ref="D34:D40" si="21">C34-B34</f>
        <v>-57571.99000000002</v>
      </c>
      <c r="E34" s="194">
        <f t="shared" si="14"/>
        <v>-0.24038457363087831</v>
      </c>
      <c r="F34" s="171"/>
      <c r="G34" s="168">
        <f>'ADB Inc. Statement'!G34+'ANT Inc Statement'!G34+'ACC Inc Statement'!G34+'PUC Inc. Statement'!G34+'AASPA Inc. Statement'!G34+'AFSC Inc. Statement'!G34+'PSPF Inc. Statement'!G34+'ATB Inc. Statement'!G34+'ASSB Inc. Statement'!G34</f>
        <v>236026.55</v>
      </c>
      <c r="H34" s="165">
        <f>'ADB Inc. Statement'!H34+'ANT Inc Statement'!H34+'ACC Inc Statement'!H34+'PUC Inc. Statement'!H34+'AASPA Inc. Statement'!H34+'AFSC Inc. Statement'!H34+'PSPF Inc. Statement'!H34+'ATB Inc. Statement'!H34+'ASSB Inc. Statement'!H34</f>
        <v>140211.01999999999</v>
      </c>
      <c r="I34" s="193">
        <f t="shared" ref="I34:I40" si="22">H34-G34</f>
        <v>-95815.53</v>
      </c>
      <c r="J34" s="195">
        <f t="shared" si="15"/>
        <v>-0.4059523388364572</v>
      </c>
      <c r="K34" s="171"/>
      <c r="L34" s="165">
        <f>'ADB Inc. Statement'!L34+'ANT Inc Statement'!L34+'ACC Inc Statement'!L34+'PUC Inc. Statement'!L34+'AASPA Inc. Statement'!L34+'AFSC Inc. Statement'!L34+'PSPF Inc. Statement'!L34+'ATB Inc. Statement'!L34+'ASSB Inc. Statement'!L34</f>
        <v>215834.12</v>
      </c>
      <c r="M34" s="165">
        <f>'ADB Inc. Statement'!M34+'ANT Inc Statement'!M34+'ACC Inc Statement'!M34+'PUC Inc. Statement'!M34+'AASPA Inc. Statement'!M34+'AFSC Inc. Statement'!M34+'PSPF Inc. Statement'!M34+'ATB Inc. Statement'!M34+'ASSB Inc. Statement'!M34</f>
        <v>110358.02</v>
      </c>
      <c r="N34" s="193">
        <f t="shared" ref="N34:N40" si="23">M34-L34</f>
        <v>-105476.09999999999</v>
      </c>
      <c r="O34" s="196">
        <f t="shared" si="16"/>
        <v>-0.4886905740389888</v>
      </c>
      <c r="P34" s="171"/>
      <c r="Q34" s="165">
        <f>'ADB Inc. Statement'!Q34+'ANT Inc Statement'!Q34+'ACC Inc Statement'!Q34+'PUC Inc. Statement'!Q34+'AASPA Inc. Statement'!Q34+'AFSC Inc. Statement'!Q34+'PSPF Inc. Statement'!Q34+'ATB Inc. Statement'!Q34+'ASSB Inc. Statement'!Q34</f>
        <v>199703.81</v>
      </c>
      <c r="R34" s="165">
        <f>'ADB Inc. Statement'!R34+'ANT Inc Statement'!R34+'ACC Inc Statement'!R34+'PUC Inc. Statement'!R34+'AASPA Inc. Statement'!R34+'AFSC Inc. Statement'!R34+'PSPF Inc. Statement'!R34+'ATB Inc. Statement'!R34+'ASSB Inc. Statement'!R34</f>
        <v>191312.07999999996</v>
      </c>
      <c r="S34" s="193">
        <f t="shared" ref="S34:S40" si="24">R34-Q34</f>
        <v>-8391.7300000000396</v>
      </c>
      <c r="T34" s="1212">
        <f t="shared" si="17"/>
        <v>-4.2020880823455696E-2</v>
      </c>
      <c r="U34" s="783"/>
      <c r="V34" s="198">
        <f t="shared" si="18"/>
        <v>891064</v>
      </c>
      <c r="W34" s="193">
        <f t="shared" si="18"/>
        <v>623808.64999999991</v>
      </c>
      <c r="X34" s="193">
        <f t="shared" ref="X34:X40" si="25">W34-V34</f>
        <v>-267255.35000000009</v>
      </c>
      <c r="Y34" s="196">
        <f t="shared" si="19"/>
        <v>-0.29992834409200697</v>
      </c>
      <c r="Z34" s="169"/>
      <c r="AA34" s="168">
        <f>'ADB Inc. Statement'!AA34+'ANT Inc Statement'!AA34+'ACC Inc Statement'!AA34+'PUC Inc. Statement'!AA34+'AASPA Inc. Statement'!AA34+'AFSC Inc. Statement'!AA34+'PSPF Inc. Statement'!AA34+'ATB Inc. Statement'!AA34+'ASSB Inc. Statement'!AA34</f>
        <v>935964</v>
      </c>
      <c r="AB34" s="193">
        <f t="shared" ref="AB34:AB40" si="26">AA34-W34</f>
        <v>312155.35000000009</v>
      </c>
      <c r="AC34" s="196">
        <f t="shared" si="20"/>
        <v>0.33351213294528431</v>
      </c>
      <c r="AD34" s="171"/>
      <c r="AE34" s="1179"/>
    </row>
    <row r="35" spans="1:31" x14ac:dyDescent="0.3">
      <c r="A35" s="170" t="s">
        <v>81</v>
      </c>
      <c r="B35" s="168">
        <f>'ADB Inc. Statement'!B35+'ATB Inc. Statement'!B35+'AASPA Inc. Statement'!B35+'ACC Inc Statement'!B35+'ANT Inc Statement'!B35+'PSPF Inc. Statement'!B35+'AFSC Inc. Statement'!B35+'PUC Inc. Statement'!B35+'ASSB Inc. Statement'!B35</f>
        <v>557635.78075799998</v>
      </c>
      <c r="C35" s="165">
        <f>'ADB Inc. Statement'!C35+'ANT Inc Statement'!C35+'ACC Inc Statement'!C35+'PUC Inc. Statement'!C35+'AASPA Inc. Statement'!C35+'AFSC Inc. Statement'!C35+'PSPF Inc. Statement'!C35+'ATB Inc. Statement'!C35+'ASSB Inc. Statement'!C35</f>
        <v>301882.98782799998</v>
      </c>
      <c r="D35" s="193">
        <f t="shared" si="21"/>
        <v>-255752.79293</v>
      </c>
      <c r="E35" s="194">
        <f t="shared" si="14"/>
        <v>-0.45863770180305258</v>
      </c>
      <c r="F35" s="171"/>
      <c r="G35" s="168">
        <f>'ADB Inc. Statement'!G35+'ANT Inc Statement'!G35+'ACC Inc Statement'!G35+'PUC Inc. Statement'!G35+'AASPA Inc. Statement'!G35+'AFSC Inc. Statement'!G35+'PSPF Inc. Statement'!G35+'ATB Inc. Statement'!G35+'ASSB Inc. Statement'!G35</f>
        <v>558970.07074999996</v>
      </c>
      <c r="H35" s="165">
        <f>'ADB Inc. Statement'!H35+'ANT Inc Statement'!H35+'ACC Inc Statement'!H35+'PUC Inc. Statement'!H35+'AASPA Inc. Statement'!H35+'AFSC Inc. Statement'!H35+'PSPF Inc. Statement'!H35+'ATB Inc. Statement'!H35+'ASSB Inc. Statement'!H35</f>
        <v>306446.89638599998</v>
      </c>
      <c r="I35" s="193">
        <f t="shared" si="22"/>
        <v>-252523.17436399998</v>
      </c>
      <c r="J35" s="195">
        <f t="shared" si="15"/>
        <v>-0.45176510796933395</v>
      </c>
      <c r="K35" s="171"/>
      <c r="L35" s="165">
        <f>'ADB Inc. Statement'!L35+'ANT Inc Statement'!L35+'ACC Inc Statement'!L35+'PUC Inc. Statement'!L35+'AASPA Inc. Statement'!L35+'AFSC Inc. Statement'!L35+'PSPF Inc. Statement'!L35+'ATB Inc. Statement'!L35+'ASSB Inc. Statement'!L35</f>
        <v>590848.47386400006</v>
      </c>
      <c r="M35" s="165">
        <f>'ADB Inc. Statement'!M35+'ANT Inc Statement'!M35+'ACC Inc Statement'!M35+'PUC Inc. Statement'!M35+'AASPA Inc. Statement'!M35+'AFSC Inc. Statement'!M35+'PSPF Inc. Statement'!M35+'ATB Inc. Statement'!M35+'ASSB Inc. Statement'!M35</f>
        <v>277417.06272599997</v>
      </c>
      <c r="N35" s="193">
        <f t="shared" si="23"/>
        <v>-313431.41113800008</v>
      </c>
      <c r="O35" s="196">
        <f t="shared" si="16"/>
        <v>-0.53047680581831358</v>
      </c>
      <c r="P35" s="171"/>
      <c r="Q35" s="165">
        <f>'ADB Inc. Statement'!Q35+'ANT Inc Statement'!Q35+'ACC Inc Statement'!Q35+'PUC Inc. Statement'!Q35+'AASPA Inc. Statement'!Q35+'AFSC Inc. Statement'!Q35+'PSPF Inc. Statement'!Q35+'ATB Inc. Statement'!Q35+'ASSB Inc. Statement'!Q35</f>
        <v>398379.21265600005</v>
      </c>
      <c r="R35" s="165">
        <f>'ADB Inc. Statement'!R35+'ANT Inc Statement'!R35+'ACC Inc Statement'!R35+'PUC Inc. Statement'!R35+'AASPA Inc. Statement'!R35+'AFSC Inc. Statement'!R35+'PSPF Inc. Statement'!R35+'ATB Inc. Statement'!R35+'ASSB Inc. Statement'!R35</f>
        <v>651745.85827800003</v>
      </c>
      <c r="S35" s="193">
        <f t="shared" si="24"/>
        <v>253366.64562199998</v>
      </c>
      <c r="T35" s="1212">
        <f t="shared" si="17"/>
        <v>0.63599364016209792</v>
      </c>
      <c r="U35" s="783"/>
      <c r="V35" s="198">
        <f t="shared" si="18"/>
        <v>2105833.5380279999</v>
      </c>
      <c r="W35" s="193">
        <f t="shared" si="18"/>
        <v>1537492.805218</v>
      </c>
      <c r="X35" s="193">
        <f t="shared" si="25"/>
        <v>-568340.73280999996</v>
      </c>
      <c r="Y35" s="196">
        <f t="shared" si="19"/>
        <v>-0.269888726979921</v>
      </c>
      <c r="Z35" s="169"/>
      <c r="AA35" s="168">
        <f>'ADB Inc. Statement'!AA35+'ANT Inc Statement'!AA35+'ACC Inc Statement'!AA35+'PUC Inc. Statement'!AA35+'AASPA Inc. Statement'!AA35+'AFSC Inc. Statement'!AA35+'PSPF Inc. Statement'!AA35+'ATB Inc. Statement'!AA35+'ASSB Inc. Statement'!AA35</f>
        <v>2322082.2380280001</v>
      </c>
      <c r="AB35" s="193">
        <f t="shared" si="26"/>
        <v>784589.43281000014</v>
      </c>
      <c r="AC35" s="196">
        <f t="shared" si="20"/>
        <v>0.33788184585413439</v>
      </c>
      <c r="AD35" s="171"/>
      <c r="AE35" s="1179"/>
    </row>
    <row r="36" spans="1:31" x14ac:dyDescent="0.3">
      <c r="A36" s="170" t="s">
        <v>106</v>
      </c>
      <c r="B36" s="168">
        <f>'ADB Inc. Statement'!B36+'ATB Inc. Statement'!B36+'AASPA Inc. Statement'!B36+'ACC Inc Statement'!B36+'ANT Inc Statement'!B36+'PSPF Inc. Statement'!B36+'AFSC Inc. Statement'!B36+'PUC Inc. Statement'!B36+'ASSB Inc. Statement'!B36</f>
        <v>317629.54924000002</v>
      </c>
      <c r="C36" s="165">
        <f>'ADB Inc. Statement'!C36+'ANT Inc Statement'!C36+'ACC Inc Statement'!C36+'PUC Inc. Statement'!C36+'AASPA Inc. Statement'!C36+'AFSC Inc. Statement'!C36+'PSPF Inc. Statement'!C36+'ATB Inc. Statement'!C36+'ASSB Inc. Statement'!C36</f>
        <v>251312.93395199999</v>
      </c>
      <c r="D36" s="193">
        <f t="shared" si="21"/>
        <v>-66316.61528800003</v>
      </c>
      <c r="E36" s="194">
        <f t="shared" si="14"/>
        <v>-0.20878603847367921</v>
      </c>
      <c r="F36" s="230"/>
      <c r="G36" s="168">
        <f>'ADB Inc. Statement'!G36+'ANT Inc Statement'!G36+'ACC Inc Statement'!G36+'PUC Inc. Statement'!G36+'AASPA Inc. Statement'!G36+'AFSC Inc. Statement'!G36+'PSPF Inc. Statement'!G36+'ATB Inc. Statement'!G36+'ASSB Inc. Statement'!G36</f>
        <v>322081.367248</v>
      </c>
      <c r="H36" s="165">
        <f>'ADB Inc. Statement'!H36+'ANT Inc Statement'!H36+'ACC Inc Statement'!H36+'PUC Inc. Statement'!H36+'AASPA Inc. Statement'!H36+'AFSC Inc. Statement'!H36+'PSPF Inc. Statement'!H36+'ATB Inc. Statement'!H36+'ASSB Inc. Statement'!H36</f>
        <v>249005.20357600006</v>
      </c>
      <c r="I36" s="193">
        <f t="shared" si="22"/>
        <v>-73076.163671999937</v>
      </c>
      <c r="J36" s="195">
        <f t="shared" si="15"/>
        <v>-0.22688727477902157</v>
      </c>
      <c r="K36" s="230"/>
      <c r="L36" s="165">
        <f>'ADB Inc. Statement'!L36+'ANT Inc Statement'!L36+'ACC Inc Statement'!L36+'PUC Inc. Statement'!L36+'AASPA Inc. Statement'!L36+'AFSC Inc. Statement'!L36+'PSPF Inc. Statement'!L36+'ATB Inc. Statement'!L36+'ASSB Inc. Statement'!L36</f>
        <v>328414.63125199999</v>
      </c>
      <c r="M36" s="165">
        <f>'ADB Inc. Statement'!M36+'ANT Inc Statement'!M36+'ACC Inc Statement'!M36+'PUC Inc. Statement'!M36+'AASPA Inc. Statement'!M36+'AFSC Inc. Statement'!M36+'PSPF Inc. Statement'!M36+'ATB Inc. Statement'!M36+'ASSB Inc. Statement'!M36</f>
        <v>231085.00017399999</v>
      </c>
      <c r="N36" s="193">
        <f t="shared" si="23"/>
        <v>-97329.631078000006</v>
      </c>
      <c r="O36" s="196">
        <f t="shared" si="16"/>
        <v>-0.29636204302760427</v>
      </c>
      <c r="P36" s="230"/>
      <c r="Q36" s="165">
        <f>'ADB Inc. Statement'!Q36+'ANT Inc Statement'!Q36+'ACC Inc Statement'!Q36+'PUC Inc. Statement'!Q36+'AASPA Inc. Statement'!Q36+'AFSC Inc. Statement'!Q36+'PSPF Inc. Statement'!Q36+'ATB Inc. Statement'!Q36+'ASSB Inc. Statement'!Q36</f>
        <v>271718.27509000001</v>
      </c>
      <c r="R36" s="165">
        <f>'ADB Inc. Statement'!R36+'ANT Inc Statement'!R36+'ACC Inc Statement'!R36+'PUC Inc. Statement'!R36+'AASPA Inc. Statement'!R36+'AFSC Inc. Statement'!R36+'PSPF Inc. Statement'!R36+'ATB Inc. Statement'!R36+'ASSB Inc. Statement'!R36</f>
        <v>224993.16103799999</v>
      </c>
      <c r="S36" s="193">
        <f t="shared" si="24"/>
        <v>-46725.114052000019</v>
      </c>
      <c r="T36" s="1212">
        <f t="shared" si="17"/>
        <v>-0.17196161736461588</v>
      </c>
      <c r="U36" s="785"/>
      <c r="V36" s="198">
        <f t="shared" si="18"/>
        <v>1239843.82283</v>
      </c>
      <c r="W36" s="193">
        <f t="shared" si="18"/>
        <v>956396.29874000011</v>
      </c>
      <c r="X36" s="193">
        <f t="shared" si="25"/>
        <v>-283447.52408999985</v>
      </c>
      <c r="Y36" s="196">
        <f t="shared" si="19"/>
        <v>-0.22861550694588129</v>
      </c>
      <c r="Z36" s="231"/>
      <c r="AA36" s="168">
        <f>'ADB Inc. Statement'!AA36+'ANT Inc Statement'!AA36+'ACC Inc Statement'!AA36+'PUC Inc. Statement'!AA36+'AASPA Inc. Statement'!AA36+'AFSC Inc. Statement'!AA36+'PSPF Inc. Statement'!AA36+'ATB Inc. Statement'!AA36+'ASSB Inc. Statement'!AA36</f>
        <v>1285442.7828300002</v>
      </c>
      <c r="AB36" s="193">
        <f t="shared" si="26"/>
        <v>329046.48409000004</v>
      </c>
      <c r="AC36" s="196">
        <f t="shared" si="20"/>
        <v>0.25597909800822027</v>
      </c>
      <c r="AD36" s="230"/>
      <c r="AE36" s="1178"/>
    </row>
    <row r="37" spans="1:31" x14ac:dyDescent="0.3">
      <c r="A37" s="170" t="s">
        <v>80</v>
      </c>
      <c r="B37" s="168">
        <f>'ADB Inc. Statement'!B37+'ATB Inc. Statement'!B37+'AASPA Inc. Statement'!B37+'ACC Inc Statement'!B37+'ANT Inc Statement'!B37+'PSPF Inc. Statement'!B37+'AFSC Inc. Statement'!B37+'PUC Inc. Statement'!B37+'ASSB Inc. Statement'!B37</f>
        <v>191108.5</v>
      </c>
      <c r="C37" s="165">
        <f>'ADB Inc. Statement'!C37+'ANT Inc Statement'!C37+'ACC Inc Statement'!C37+'PUC Inc. Statement'!C37+'AASPA Inc. Statement'!C37+'AFSC Inc. Statement'!C37+'PSPF Inc. Statement'!C37+'ATB Inc. Statement'!C37+'ASSB Inc. Statement'!C37</f>
        <v>113983.9</v>
      </c>
      <c r="D37" s="193">
        <f t="shared" si="21"/>
        <v>-77124.600000000006</v>
      </c>
      <c r="E37" s="194">
        <f t="shared" si="14"/>
        <v>-0.40356446730522194</v>
      </c>
      <c r="F37" s="230"/>
      <c r="G37" s="168">
        <f>'ADB Inc. Statement'!G37+'ANT Inc Statement'!G37+'ACC Inc Statement'!G37+'PUC Inc. Statement'!G37+'AASPA Inc. Statement'!G37+'AFSC Inc. Statement'!G37+'PSPF Inc. Statement'!G37+'ATB Inc. Statement'!G37+'ASSB Inc. Statement'!G37</f>
        <v>174668.83</v>
      </c>
      <c r="H37" s="165">
        <f>'ADB Inc. Statement'!H37+'ANT Inc Statement'!H37+'ACC Inc Statement'!H37+'PUC Inc. Statement'!H37+'AASPA Inc. Statement'!H37+'AFSC Inc. Statement'!H37+'PSPF Inc. Statement'!H37+'ATB Inc. Statement'!H37+'ASSB Inc. Statement'!H37</f>
        <v>119892.25</v>
      </c>
      <c r="I37" s="193">
        <f t="shared" si="22"/>
        <v>-54776.579999999987</v>
      </c>
      <c r="J37" s="195">
        <f t="shared" si="15"/>
        <v>-0.31360248992335948</v>
      </c>
      <c r="K37" s="230"/>
      <c r="L37" s="165">
        <f>'ADB Inc. Statement'!L37+'ANT Inc Statement'!L37+'ACC Inc Statement'!L37+'PUC Inc. Statement'!L37+'AASPA Inc. Statement'!L37+'AFSC Inc. Statement'!L37+'PSPF Inc. Statement'!L37+'ATB Inc. Statement'!L37+'ASSB Inc. Statement'!L37</f>
        <v>189030.25</v>
      </c>
      <c r="M37" s="165">
        <f>'ADB Inc. Statement'!M37+'ANT Inc Statement'!M37+'ACC Inc Statement'!M37+'PUC Inc. Statement'!M37+'AASPA Inc. Statement'!M37+'AFSC Inc. Statement'!M37+'PSPF Inc. Statement'!M37+'ATB Inc. Statement'!M37+'ASSB Inc. Statement'!M37</f>
        <v>120607.96999999999</v>
      </c>
      <c r="N37" s="193">
        <f t="shared" si="23"/>
        <v>-68422.280000000013</v>
      </c>
      <c r="O37" s="196">
        <f t="shared" si="16"/>
        <v>-0.36196471199715397</v>
      </c>
      <c r="P37" s="230"/>
      <c r="Q37" s="165">
        <f>'ADB Inc. Statement'!Q37+'ANT Inc Statement'!Q37+'ACC Inc Statement'!Q37+'PUC Inc. Statement'!Q37+'AASPA Inc. Statement'!Q37+'AFSC Inc. Statement'!Q37+'PSPF Inc. Statement'!Q37+'ATB Inc. Statement'!Q37+'ASSB Inc. Statement'!Q37</f>
        <v>140660.41999999998</v>
      </c>
      <c r="R37" s="165">
        <f>'ADB Inc. Statement'!R37+'ANT Inc Statement'!R37+'ACC Inc Statement'!R37+'PUC Inc. Statement'!R37+'AASPA Inc. Statement'!R37+'AFSC Inc. Statement'!R37+'PSPF Inc. Statement'!R37+'ATB Inc. Statement'!R37+'ASSB Inc. Statement'!R37</f>
        <v>111072.75999999998</v>
      </c>
      <c r="S37" s="193">
        <f t="shared" si="24"/>
        <v>-29587.660000000003</v>
      </c>
      <c r="T37" s="1212">
        <f t="shared" si="17"/>
        <v>-0.21034815621907005</v>
      </c>
      <c r="U37" s="785"/>
      <c r="V37" s="198">
        <f t="shared" si="18"/>
        <v>695468</v>
      </c>
      <c r="W37" s="193">
        <f t="shared" si="18"/>
        <v>465556.88</v>
      </c>
      <c r="X37" s="193">
        <f t="shared" si="25"/>
        <v>-229911.12</v>
      </c>
      <c r="Y37" s="196">
        <f t="shared" si="19"/>
        <v>-0.33058475731449899</v>
      </c>
      <c r="Z37" s="231"/>
      <c r="AA37" s="168">
        <f>'ADB Inc. Statement'!AA37+'ANT Inc Statement'!AA37+'ACC Inc Statement'!AA37+'PUC Inc. Statement'!AA37+'AASPA Inc. Statement'!AA37+'AFSC Inc. Statement'!AA37+'PSPF Inc. Statement'!AA37+'ATB Inc. Statement'!AA37+'ASSB Inc. Statement'!AA37</f>
        <v>718418</v>
      </c>
      <c r="AB37" s="193">
        <f t="shared" si="26"/>
        <v>252861.12</v>
      </c>
      <c r="AC37" s="196">
        <f t="shared" si="20"/>
        <v>0.35196935488810133</v>
      </c>
      <c r="AD37" s="230"/>
      <c r="AE37" s="1178"/>
    </row>
    <row r="38" spans="1:31" x14ac:dyDescent="0.3">
      <c r="A38" s="170" t="s">
        <v>130</v>
      </c>
      <c r="B38" s="168">
        <f>'ADB Inc. Statement'!B38+'ATB Inc. Statement'!B38+'AASPA Inc. Statement'!B38+'ACC Inc Statement'!B38+'ANT Inc Statement'!B38+'PSPF Inc. Statement'!B38+'AFSC Inc. Statement'!B38+'PUC Inc. Statement'!B38+'ASSB Inc. Statement'!B38</f>
        <v>474569.453736</v>
      </c>
      <c r="C38" s="165">
        <f>'ADB Inc. Statement'!C38+'ANT Inc Statement'!C38+'ACC Inc Statement'!C38+'PUC Inc. Statement'!C38+'AASPA Inc. Statement'!C38+'AFSC Inc. Statement'!C38+'PSPF Inc. Statement'!C38+'ATB Inc. Statement'!C38+'ASSB Inc. Statement'!C38</f>
        <v>347268.87378400005</v>
      </c>
      <c r="D38" s="193">
        <f t="shared" si="21"/>
        <v>-127300.57995199994</v>
      </c>
      <c r="E38" s="194">
        <f t="shared" si="14"/>
        <v>-0.26824436117798778</v>
      </c>
      <c r="F38" s="171"/>
      <c r="G38" s="168">
        <f>'ADB Inc. Statement'!G38+'ANT Inc Statement'!G38+'ACC Inc Statement'!G38+'PUC Inc. Statement'!G38+'AASPA Inc. Statement'!G38+'AFSC Inc. Statement'!G38+'PSPF Inc. Statement'!G38+'ATB Inc. Statement'!G38+'ASSB Inc. Statement'!G38</f>
        <v>470232.773736</v>
      </c>
      <c r="H38" s="165">
        <f>'ADB Inc. Statement'!H38+'ANT Inc Statement'!H38+'ACC Inc Statement'!H38+'PUC Inc. Statement'!H38+'AASPA Inc. Statement'!H38+'AFSC Inc. Statement'!H38+'PSPF Inc. Statement'!H38+'ATB Inc. Statement'!H38+'ASSB Inc. Statement'!H38</f>
        <v>356850.32752400002</v>
      </c>
      <c r="I38" s="193">
        <f t="shared" si="22"/>
        <v>-113382.44621199998</v>
      </c>
      <c r="J38" s="195">
        <f t="shared" si="15"/>
        <v>-0.24111982946483354</v>
      </c>
      <c r="K38" s="171"/>
      <c r="L38" s="165">
        <f>'ADB Inc. Statement'!L38+'ANT Inc Statement'!L38+'ACC Inc Statement'!L38+'PUC Inc. Statement'!L38+'AASPA Inc. Statement'!L38+'AFSC Inc. Statement'!L38+'PSPF Inc. Statement'!L38+'ATB Inc. Statement'!L38+'ASSB Inc. Statement'!L38</f>
        <v>467553.44372400007</v>
      </c>
      <c r="M38" s="165">
        <f>'ADB Inc. Statement'!M38+'ANT Inc Statement'!M38+'ACC Inc Statement'!M38+'PUC Inc. Statement'!M38+'AASPA Inc. Statement'!M38+'AFSC Inc. Statement'!M38+'PSPF Inc. Statement'!M38+'ATB Inc. Statement'!M38+'ASSB Inc. Statement'!M38</f>
        <v>368226.47306599998</v>
      </c>
      <c r="N38" s="193">
        <f t="shared" si="23"/>
        <v>-99326.970658000093</v>
      </c>
      <c r="O38" s="196">
        <f t="shared" si="16"/>
        <v>-0.21243982263690367</v>
      </c>
      <c r="P38" s="171"/>
      <c r="Q38" s="165">
        <f>'ADB Inc. Statement'!Q38+'ANT Inc Statement'!Q38+'ACC Inc Statement'!Q38+'PUC Inc. Statement'!Q38+'AASPA Inc. Statement'!Q38+'AFSC Inc. Statement'!Q38+'PSPF Inc. Statement'!Q38+'ATB Inc. Statement'!Q38+'ASSB Inc. Statement'!Q38</f>
        <v>397526.72371799994</v>
      </c>
      <c r="R38" s="165">
        <f>'ADB Inc. Statement'!R38+'ANT Inc Statement'!R38+'ACC Inc Statement'!R38+'PUC Inc. Statement'!R38+'AASPA Inc. Statement'!R38+'AFSC Inc. Statement'!R38+'PSPF Inc. Statement'!R38+'ATB Inc. Statement'!R38+'ASSB Inc. Statement'!R38</f>
        <v>324986.10305399995</v>
      </c>
      <c r="S38" s="193">
        <f t="shared" si="24"/>
        <v>-72540.620663999987</v>
      </c>
      <c r="T38" s="1212">
        <f t="shared" si="17"/>
        <v>-0.18247985943068148</v>
      </c>
      <c r="U38" s="783"/>
      <c r="V38" s="198">
        <f t="shared" si="18"/>
        <v>1809882.3949140001</v>
      </c>
      <c r="W38" s="193">
        <f t="shared" si="18"/>
        <v>1397331.7774280002</v>
      </c>
      <c r="X38" s="193">
        <f t="shared" si="25"/>
        <v>-412550.61748599983</v>
      </c>
      <c r="Y38" s="196">
        <f t="shared" si="19"/>
        <v>-0.22794332860815686</v>
      </c>
      <c r="Z38" s="169"/>
      <c r="AA38" s="168">
        <f>'ADB Inc. Statement'!AA38+'ANT Inc Statement'!AA38+'ACC Inc Statement'!AA38+'PUC Inc. Statement'!AA38+'AASPA Inc. Statement'!AA38+'AFSC Inc. Statement'!AA38+'PSPF Inc. Statement'!AA38+'ATB Inc. Statement'!AA38+'ASSB Inc. Statement'!AA38</f>
        <v>1829879.4649140001</v>
      </c>
      <c r="AB38" s="193">
        <f t="shared" si="26"/>
        <v>432547.68748599989</v>
      </c>
      <c r="AC38" s="196">
        <f t="shared" si="20"/>
        <v>0.23638042602239301</v>
      </c>
      <c r="AD38" s="171"/>
      <c r="AE38" s="1179"/>
    </row>
    <row r="39" spans="1:31" x14ac:dyDescent="0.3">
      <c r="A39" s="170" t="s">
        <v>129</v>
      </c>
      <c r="B39" s="168">
        <f>'ADB Inc. Statement'!B39+'ATB Inc. Statement'!B39+'AASPA Inc. Statement'!B39+'ACC Inc Statement'!B39+'ANT Inc Statement'!B39+'PSPF Inc. Statement'!B39+'AFSC Inc. Statement'!B39+'PUC Inc. Statement'!B39+'ASSB Inc. Statement'!B39</f>
        <v>13317</v>
      </c>
      <c r="C39" s="165">
        <f>'ADB Inc. Statement'!C39+'ANT Inc Statement'!C39+'ACC Inc Statement'!C39+'PUC Inc. Statement'!C39+'AASPA Inc. Statement'!C39+'AFSC Inc. Statement'!C39+'PSPF Inc. Statement'!C39+'ATB Inc. Statement'!C39+'ASSB Inc. Statement'!C39</f>
        <v>1</v>
      </c>
      <c r="D39" s="193">
        <f t="shared" si="21"/>
        <v>-13316</v>
      </c>
      <c r="E39" s="194">
        <f t="shared" si="14"/>
        <v>-0.99992490801231504</v>
      </c>
      <c r="F39" s="171"/>
      <c r="G39" s="168">
        <f>'ADB Inc. Statement'!G39+'ANT Inc Statement'!G39+'ACC Inc Statement'!G39+'PUC Inc. Statement'!G39+'AASPA Inc. Statement'!G39+'AFSC Inc. Statement'!G39+'PSPF Inc. Statement'!G39+'ATB Inc. Statement'!G39+'ASSB Inc. Statement'!G39</f>
        <v>13318</v>
      </c>
      <c r="H39" s="165">
        <f>'ADB Inc. Statement'!H39+'ANT Inc Statement'!H39+'ACC Inc Statement'!H39+'PUC Inc. Statement'!H39+'AASPA Inc. Statement'!H39+'AFSC Inc. Statement'!H39+'PSPF Inc. Statement'!H39+'ATB Inc. Statement'!H39+'ASSB Inc. Statement'!H39</f>
        <v>1</v>
      </c>
      <c r="I39" s="193">
        <f t="shared" si="22"/>
        <v>-13317</v>
      </c>
      <c r="J39" s="195">
        <f t="shared" si="15"/>
        <v>-0.99992491365069835</v>
      </c>
      <c r="K39" s="171"/>
      <c r="L39" s="165">
        <f>'ADB Inc. Statement'!L39+'ANT Inc Statement'!L39+'ACC Inc Statement'!L39+'PUC Inc. Statement'!L39+'AASPA Inc. Statement'!L39+'AFSC Inc. Statement'!L39+'PSPF Inc. Statement'!L39+'ATB Inc. Statement'!L39+'ASSB Inc. Statement'!L39</f>
        <v>13317</v>
      </c>
      <c r="M39" s="165">
        <f>'ADB Inc. Statement'!M39+'ANT Inc Statement'!M39+'ACC Inc Statement'!M39+'PUC Inc. Statement'!M39+'AASPA Inc. Statement'!M39+'AFSC Inc. Statement'!M39+'PSPF Inc. Statement'!M39+'ATB Inc. Statement'!M39+'ASSB Inc. Statement'!M39</f>
        <v>1688.9</v>
      </c>
      <c r="N39" s="193">
        <f t="shared" si="23"/>
        <v>-11628.1</v>
      </c>
      <c r="O39" s="196">
        <f t="shared" si="16"/>
        <v>-0.87317714199894869</v>
      </c>
      <c r="P39" s="171"/>
      <c r="Q39" s="165">
        <f>'ADB Inc. Statement'!Q39+'ANT Inc Statement'!Q39+'ACC Inc Statement'!Q39+'PUC Inc. Statement'!Q39+'AASPA Inc. Statement'!Q39+'AFSC Inc. Statement'!Q39+'PSPF Inc. Statement'!Q39+'ATB Inc. Statement'!Q39+'ASSB Inc. Statement'!Q39</f>
        <v>12067</v>
      </c>
      <c r="R39" s="165">
        <f>'ADB Inc. Statement'!R39+'ANT Inc Statement'!R39+'ACC Inc Statement'!R39+'PUC Inc. Statement'!R39+'AASPA Inc. Statement'!R39+'AFSC Inc. Statement'!R39+'PSPF Inc. Statement'!R39+'ATB Inc. Statement'!R39+'ASSB Inc. Statement'!R39</f>
        <v>388664.76524600002</v>
      </c>
      <c r="S39" s="193">
        <f t="shared" si="24"/>
        <v>376597.76524600002</v>
      </c>
      <c r="T39" s="1212">
        <f t="shared" si="17"/>
        <v>31.208897426535181</v>
      </c>
      <c r="U39" s="783"/>
      <c r="V39" s="198">
        <f t="shared" si="18"/>
        <v>52019</v>
      </c>
      <c r="W39" s="193">
        <f t="shared" si="18"/>
        <v>390355.66524600005</v>
      </c>
      <c r="X39" s="193">
        <f t="shared" si="25"/>
        <v>338336.66524600005</v>
      </c>
      <c r="Y39" s="196">
        <f t="shared" si="19"/>
        <v>6.5040978343682125</v>
      </c>
      <c r="Z39" s="169"/>
      <c r="AA39" s="168">
        <f>'ADB Inc. Statement'!AA39+'ANT Inc Statement'!AA39+'ACC Inc Statement'!AA39+'PUC Inc. Statement'!AA39+'AASPA Inc. Statement'!AA39+'AFSC Inc. Statement'!AA39+'PSPF Inc. Statement'!AA39+'ATB Inc. Statement'!AA39+'ASSB Inc. Statement'!AA39</f>
        <v>53268</v>
      </c>
      <c r="AB39" s="193">
        <f t="shared" si="26"/>
        <v>-337087.66524600005</v>
      </c>
      <c r="AC39" s="196">
        <f t="shared" si="20"/>
        <v>-6.328145701847264</v>
      </c>
      <c r="AD39" s="171"/>
      <c r="AE39" s="1179"/>
    </row>
    <row r="40" spans="1:31" x14ac:dyDescent="0.3">
      <c r="A40" s="232" t="s">
        <v>40</v>
      </c>
      <c r="B40" s="168">
        <f>'ADB Inc. Statement'!B40+'ATB Inc. Statement'!B40+'AASPA Inc. Statement'!B40+'ACC Inc Statement'!B40+'ANT Inc Statement'!B40+'PSPF Inc. Statement'!B40+'AFSC Inc. Statement'!B40+'PUC Inc. Statement'!B40+'ASSB Inc. Statement'!B40</f>
        <v>22083.25</v>
      </c>
      <c r="C40" s="165">
        <f>'ADB Inc. Statement'!C40+'ANT Inc Statement'!C40+'ACC Inc Statement'!C40+'PUC Inc. Statement'!C40+'AASPA Inc. Statement'!C40+'AFSC Inc. Statement'!C40+'PSPF Inc. Statement'!C40+'ATB Inc. Statement'!C40+'ASSB Inc. Statement'!C40</f>
        <v>8857.9599999999991</v>
      </c>
      <c r="D40" s="193">
        <f t="shared" si="21"/>
        <v>-13225.29</v>
      </c>
      <c r="E40" s="233">
        <f t="shared" si="14"/>
        <v>-0.59888331654081717</v>
      </c>
      <c r="F40" s="166"/>
      <c r="G40" s="168">
        <f>'ADB Inc. Statement'!G40+'ANT Inc Statement'!G40+'ACC Inc Statement'!G40+'PUC Inc. Statement'!G40+'AASPA Inc. Statement'!G40+'AFSC Inc. Statement'!G40+'PSPF Inc. Statement'!G40+'ATB Inc. Statement'!G40+'ASSB Inc. Statement'!G40</f>
        <v>22083.25</v>
      </c>
      <c r="H40" s="165">
        <f>'ADB Inc. Statement'!H40+'ANT Inc Statement'!H40+'ACC Inc Statement'!H40+'PUC Inc. Statement'!H40+'AASPA Inc. Statement'!H40+'AFSC Inc. Statement'!H40+'PSPF Inc. Statement'!H40+'ATB Inc. Statement'!H40+'ASSB Inc. Statement'!H40</f>
        <v>12182.630000000001</v>
      </c>
      <c r="I40" s="193">
        <f t="shared" si="22"/>
        <v>-9900.619999999999</v>
      </c>
      <c r="J40" s="234">
        <f t="shared" si="15"/>
        <v>-0.44833165408171349</v>
      </c>
      <c r="K40" s="166"/>
      <c r="L40" s="165">
        <f>'ADB Inc. Statement'!L40+'ANT Inc Statement'!L40+'ACC Inc Statement'!L40+'PUC Inc. Statement'!L40+'AASPA Inc. Statement'!L40+'AFSC Inc. Statement'!L40+'PSPF Inc. Statement'!L40+'ATB Inc. Statement'!L40+'ASSB Inc. Statement'!L40</f>
        <v>22083.25</v>
      </c>
      <c r="M40" s="165">
        <f>'ADB Inc. Statement'!M40+'ANT Inc Statement'!M40+'ACC Inc Statement'!M40+'PUC Inc. Statement'!M40+'AASPA Inc. Statement'!M40+'AFSC Inc. Statement'!M40+'PSPF Inc. Statement'!M40+'ATB Inc. Statement'!M40+'ASSB Inc. Statement'!M40</f>
        <v>18950.55</v>
      </c>
      <c r="N40" s="193">
        <f t="shared" si="23"/>
        <v>-3132.7000000000007</v>
      </c>
      <c r="O40" s="235">
        <f t="shared" si="16"/>
        <v>-0.14185864852320201</v>
      </c>
      <c r="P40" s="166"/>
      <c r="Q40" s="165">
        <f>'ADB Inc. Statement'!Q40+'ANT Inc Statement'!Q40+'ACC Inc Statement'!Q40+'PUC Inc. Statement'!Q40+'AASPA Inc. Statement'!Q40+'AFSC Inc. Statement'!Q40+'PSPF Inc. Statement'!Q40+'ATB Inc. Statement'!Q40+'ASSB Inc. Statement'!Q40</f>
        <v>22083</v>
      </c>
      <c r="R40" s="165">
        <f>'ADB Inc. Statement'!R40+'ANT Inc Statement'!R40+'ACC Inc Statement'!R40+'PUC Inc. Statement'!R40+'AASPA Inc. Statement'!R40+'AFSC Inc. Statement'!R40+'PSPF Inc. Statement'!R40+'ATB Inc. Statement'!R40+'ASSB Inc. Statement'!R40</f>
        <v>19323.260000000002</v>
      </c>
      <c r="S40" s="193">
        <f t="shared" si="24"/>
        <v>-2759.739999999998</v>
      </c>
      <c r="T40" s="1213">
        <f t="shared" si="17"/>
        <v>-0.12497124484897876</v>
      </c>
      <c r="U40" s="782"/>
      <c r="V40" s="236">
        <f t="shared" si="18"/>
        <v>88332.75</v>
      </c>
      <c r="W40" s="237">
        <f t="shared" si="18"/>
        <v>59314.400000000001</v>
      </c>
      <c r="X40" s="193">
        <f t="shared" si="25"/>
        <v>-29018.35</v>
      </c>
      <c r="Y40" s="235">
        <f t="shared" si="19"/>
        <v>-0.32851179205900416</v>
      </c>
      <c r="Z40" s="169"/>
      <c r="AA40" s="168">
        <f>'ADB Inc. Statement'!AA40+'ANT Inc Statement'!AA40+'ACC Inc Statement'!AA40+'PUC Inc. Statement'!AA40+'AASPA Inc. Statement'!AA40+'AFSC Inc. Statement'!AA40+'PSPF Inc. Statement'!AA40+'ATB Inc. Statement'!AA40+'ASSB Inc. Statement'!AA40</f>
        <v>93432</v>
      </c>
      <c r="AB40" s="193">
        <f t="shared" si="26"/>
        <v>34117.599999999999</v>
      </c>
      <c r="AC40" s="235">
        <f t="shared" si="20"/>
        <v>0.36515968832948026</v>
      </c>
      <c r="AD40" s="166"/>
      <c r="AE40" s="1179"/>
    </row>
    <row r="41" spans="1:31" x14ac:dyDescent="0.3">
      <c r="A41" s="174" t="s">
        <v>83</v>
      </c>
      <c r="B41" s="209">
        <f>SUM(B33:B40)</f>
        <v>8234650.1567119993</v>
      </c>
      <c r="C41" s="210">
        <f>SUM(C33:C40)</f>
        <v>6499138.6515420014</v>
      </c>
      <c r="D41" s="210">
        <f>SUM(D33:D40)</f>
        <v>-1735511.5051700003</v>
      </c>
      <c r="E41" s="211">
        <f t="shared" si="14"/>
        <v>-0.21075716298104033</v>
      </c>
      <c r="F41" s="171"/>
      <c r="G41" s="209">
        <f>SUM(G33:G40)</f>
        <v>8355289.0293359989</v>
      </c>
      <c r="H41" s="210">
        <f>SUM(H33:H40)</f>
        <v>6608194.1797520006</v>
      </c>
      <c r="I41" s="210">
        <f>SUM(I33:I40)</f>
        <v>-1747094.8495839988</v>
      </c>
      <c r="J41" s="211">
        <f t="shared" si="15"/>
        <v>-0.20910046839191651</v>
      </c>
      <c r="K41" s="171"/>
      <c r="L41" s="209">
        <f>SUM(L33:L40)</f>
        <v>8367381.5481640007</v>
      </c>
      <c r="M41" s="210">
        <f>SUM(M33:M40)</f>
        <v>6586736.9770360002</v>
      </c>
      <c r="N41" s="210">
        <f>SUM(N33:N40)</f>
        <v>-1780644.5711280003</v>
      </c>
      <c r="O41" s="212">
        <f t="shared" si="16"/>
        <v>-0.21280786120225573</v>
      </c>
      <c r="P41" s="171"/>
      <c r="Q41" s="209">
        <f>SUM(Q33:Q40)</f>
        <v>6627875.2730319984</v>
      </c>
      <c r="R41" s="210">
        <f>SUM(R33:R40)</f>
        <v>6756073.349911999</v>
      </c>
      <c r="S41" s="210">
        <f>SUM(S33:S40)</f>
        <v>128198.07687999925</v>
      </c>
      <c r="T41" s="1214">
        <f t="shared" si="17"/>
        <v>1.9342258506526416E-2</v>
      </c>
      <c r="U41" s="783"/>
      <c r="V41" s="209">
        <f>SUM(V33:V40)</f>
        <v>31585196.007243998</v>
      </c>
      <c r="W41" s="210">
        <f>SUM(W33:W40)</f>
        <v>26450143.158241995</v>
      </c>
      <c r="X41" s="210">
        <f>SUM(X33:X40)</f>
        <v>-5135052.8490019999</v>
      </c>
      <c r="Y41" s="212">
        <f t="shared" si="19"/>
        <v>-0.16257783702922998</v>
      </c>
      <c r="Z41" s="169"/>
      <c r="AA41" s="213">
        <f>SUM(AA33:AA40)</f>
        <v>33066289.037244003</v>
      </c>
      <c r="AB41" s="214">
        <f>SUM(AB33:AB40)</f>
        <v>6616145.8790020011</v>
      </c>
      <c r="AC41" s="238">
        <f t="shared" si="20"/>
        <v>0.20008734187105023</v>
      </c>
      <c r="AD41" s="171"/>
      <c r="AE41" s="1181"/>
    </row>
    <row r="42" spans="1:31" x14ac:dyDescent="0.3">
      <c r="A42" s="216"/>
      <c r="B42" s="185"/>
      <c r="C42" s="186"/>
      <c r="D42" s="186"/>
      <c r="E42" s="187"/>
      <c r="F42" s="166"/>
      <c r="G42" s="188"/>
      <c r="H42" s="189"/>
      <c r="I42" s="189"/>
      <c r="J42" s="190"/>
      <c r="K42" s="166"/>
      <c r="L42" s="185"/>
      <c r="M42" s="186"/>
      <c r="N42" s="186"/>
      <c r="O42" s="191"/>
      <c r="P42" s="166"/>
      <c r="Q42" s="188"/>
      <c r="R42" s="189"/>
      <c r="S42" s="189"/>
      <c r="T42" s="1217"/>
      <c r="U42" s="782"/>
      <c r="V42" s="185"/>
      <c r="W42" s="186"/>
      <c r="X42" s="186"/>
      <c r="Y42" s="191"/>
      <c r="Z42" s="169"/>
      <c r="AA42" s="185"/>
      <c r="AB42" s="186"/>
      <c r="AC42" s="191"/>
      <c r="AD42" s="166"/>
      <c r="AE42" s="1178"/>
    </row>
    <row r="43" spans="1:31" x14ac:dyDescent="0.3">
      <c r="A43" s="158" t="s">
        <v>84</v>
      </c>
      <c r="B43" s="240"/>
      <c r="C43" s="241"/>
      <c r="D43" s="241"/>
      <c r="E43" s="242"/>
      <c r="F43" s="160"/>
      <c r="G43" s="243"/>
      <c r="H43" s="244"/>
      <c r="I43" s="244"/>
      <c r="J43" s="245"/>
      <c r="K43" s="160"/>
      <c r="L43" s="240"/>
      <c r="M43" s="241"/>
      <c r="N43" s="241"/>
      <c r="O43" s="246"/>
      <c r="P43" s="160"/>
      <c r="Q43" s="243"/>
      <c r="R43" s="244"/>
      <c r="S43" s="244"/>
      <c r="T43" s="1218"/>
      <c r="U43" s="781"/>
      <c r="V43" s="240"/>
      <c r="W43" s="241"/>
      <c r="X43" s="193"/>
      <c r="Y43" s="199"/>
      <c r="Z43" s="163"/>
      <c r="AA43" s="240"/>
      <c r="AB43" s="193"/>
      <c r="AC43" s="199"/>
      <c r="AD43" s="160"/>
      <c r="AE43" s="1178"/>
    </row>
    <row r="44" spans="1:31" x14ac:dyDescent="0.3">
      <c r="A44" s="170" t="s">
        <v>85</v>
      </c>
      <c r="B44" s="168">
        <f>'ADB Inc. Statement'!B44+'ATB Inc. Statement'!B44+'AASPA Inc. Statement'!B44+'ACC Inc Statement'!B44+'ANT Inc Statement'!B44+'PSPF Inc. Statement'!B44+'AFSC Inc. Statement'!B44+'PUC Inc. Statement'!B44+'ASSB Inc. Statement'!B44</f>
        <v>1243321.25</v>
      </c>
      <c r="C44" s="165">
        <f>'ADB Inc. Statement'!C44+'ANT Inc Statement'!C44+'ACC Inc Statement'!C44+'PUC Inc. Statement'!C44+'AASPA Inc. Statement'!C44+'AFSC Inc. Statement'!C44+'PSPF Inc. Statement'!C44+'ATB Inc. Statement'!C44+'ASSB Inc. Statement'!C44</f>
        <v>1487120.1725759997</v>
      </c>
      <c r="D44" s="193">
        <f>C44-B44</f>
        <v>243798.92257599975</v>
      </c>
      <c r="E44" s="194">
        <f t="shared" ref="E44:E76" si="27">IF(ISERROR(D44/B44),"-",D44/B44)</f>
        <v>0.19608682999345484</v>
      </c>
      <c r="F44" s="171"/>
      <c r="G44" s="168">
        <f>'ADB Inc. Statement'!G44+'ANT Inc Statement'!G44+'ACC Inc Statement'!G44+'PUC Inc. Statement'!G44+'AASPA Inc. Statement'!G44+'AFSC Inc. Statement'!G44+'PSPF Inc. Statement'!G44+'ATB Inc. Statement'!G44+'ASSB Inc. Statement'!G44</f>
        <v>1220782.8500000001</v>
      </c>
      <c r="H44" s="165">
        <f>'ADB Inc. Statement'!H44+'ANT Inc Statement'!H44+'ACC Inc Statement'!H44+'PUC Inc. Statement'!H44+'AASPA Inc. Statement'!H44+'AFSC Inc. Statement'!H44+'PSPF Inc. Statement'!H44+'ATB Inc. Statement'!H44+'ASSB Inc. Statement'!H44</f>
        <v>1587679.2</v>
      </c>
      <c r="I44" s="193">
        <f>H44-G44</f>
        <v>366896.34999999986</v>
      </c>
      <c r="J44" s="195">
        <f t="shared" ref="J44:J75" si="28">IF(ISERROR(I44/G44),"-",I44/G44)</f>
        <v>0.30054186131464727</v>
      </c>
      <c r="K44" s="171"/>
      <c r="L44" s="165">
        <f>'ADB Inc. Statement'!L44+'ANT Inc Statement'!L44+'ACC Inc Statement'!L44+'PUC Inc. Statement'!L44+'AASPA Inc. Statement'!L44+'AFSC Inc. Statement'!L44+'PSPF Inc. Statement'!L44+'ATB Inc. Statement'!L44+'ASSB Inc. Statement'!L44</f>
        <v>1240072.58</v>
      </c>
      <c r="M44" s="165">
        <f>'ADB Inc. Statement'!M44+'ANT Inc Statement'!M44+'ACC Inc Statement'!M44+'PUC Inc. Statement'!M44+'AASPA Inc. Statement'!M44+'AFSC Inc. Statement'!M44+'PSPF Inc. Statement'!M44+'ATB Inc. Statement'!M44+'ASSB Inc. Statement'!M44</f>
        <v>1005066.1799999999</v>
      </c>
      <c r="N44" s="193">
        <f>M44-L44</f>
        <v>-235006.40000000014</v>
      </c>
      <c r="O44" s="196">
        <f t="shared" ref="O44:O75" si="29">IF(ISERROR(N44/L44),"-",N44/L44)</f>
        <v>-0.18951019786277359</v>
      </c>
      <c r="P44" s="171"/>
      <c r="Q44" s="165">
        <f>'ADB Inc. Statement'!Q44+'ANT Inc Statement'!Q44+'ACC Inc Statement'!Q44+'PUC Inc. Statement'!Q44+'AASPA Inc. Statement'!Q44+'AFSC Inc. Statement'!Q44+'PSPF Inc. Statement'!Q44+'ATB Inc. Statement'!Q44+'ASSB Inc. Statement'!Q44</f>
        <v>1231586.6100000001</v>
      </c>
      <c r="R44" s="165">
        <f>'ADB Inc. Statement'!R44+'ANT Inc Statement'!R44+'ACC Inc Statement'!R44+'PUC Inc. Statement'!R44+'AASPA Inc. Statement'!R44+'AFSC Inc. Statement'!R44+'PSPF Inc. Statement'!R44+'ATB Inc. Statement'!R44+'ASSB Inc. Statement'!R44</f>
        <v>1625865.6582879999</v>
      </c>
      <c r="S44" s="193">
        <f>R44-Q44</f>
        <v>394279.04828799982</v>
      </c>
      <c r="T44" s="1212">
        <f t="shared" ref="T44:T75" si="30">IF(ISERROR(S44/Q44),"-",S44/Q44)</f>
        <v>0.32013911574436471</v>
      </c>
      <c r="U44" s="783"/>
      <c r="V44" s="198">
        <f t="shared" ref="V44:W50" si="31">B44+G44+L44+Q44</f>
        <v>4935763.29</v>
      </c>
      <c r="W44" s="193">
        <f t="shared" si="31"/>
        <v>5705731.210864</v>
      </c>
      <c r="X44" s="193">
        <f>W44-V44</f>
        <v>769967.92086399999</v>
      </c>
      <c r="Y44" s="196">
        <f t="shared" ref="Y44:Y76" si="32">IF(ISERROR(X44/V44),"-",X44/V44)</f>
        <v>0.1559977404961817</v>
      </c>
      <c r="Z44" s="169"/>
      <c r="AA44" s="168">
        <f>'ADB Inc. Statement'!AA44+'ANT Inc Statement'!AA44+'ACC Inc Statement'!AA44+'PUC Inc. Statement'!AA44+'AASPA Inc. Statement'!AA44+'AFSC Inc. Statement'!AA44+'PSPF Inc. Statement'!AA44+'ATB Inc. Statement'!AA44+'ASSB Inc. Statement'!AA44</f>
        <v>12695417</v>
      </c>
      <c r="AB44" s="193">
        <f t="shared" ref="AB44:AB75" si="33">AA44-W44</f>
        <v>6989685.789136</v>
      </c>
      <c r="AC44" s="196">
        <f t="shared" ref="AC44:AC76" si="34">IF(ISERROR(AB44/AA44),"-",AB44/AA44)</f>
        <v>0.55056764099485667</v>
      </c>
      <c r="AD44" s="171"/>
      <c r="AE44" s="1183"/>
    </row>
    <row r="45" spans="1:31" x14ac:dyDescent="0.3">
      <c r="A45" s="170" t="s">
        <v>128</v>
      </c>
      <c r="B45" s="168">
        <f>'ADB Inc. Statement'!B45+'ATB Inc. Statement'!B45+'AASPA Inc. Statement'!B45+'ACC Inc Statement'!B45+'ANT Inc Statement'!B45+'PSPF Inc. Statement'!B45+'AFSC Inc. Statement'!B45+'PUC Inc. Statement'!B45+'ASSB Inc. Statement'!B45</f>
        <v>282984.5</v>
      </c>
      <c r="C45" s="165">
        <f>'ADB Inc. Statement'!C45+'ANT Inc Statement'!C45+'ACC Inc Statement'!C45+'PUC Inc. Statement'!C45+'AASPA Inc. Statement'!C45+'AFSC Inc. Statement'!C45+'PSPF Inc. Statement'!C45+'ATB Inc. Statement'!C45+'ASSB Inc. Statement'!C45</f>
        <v>78672.37</v>
      </c>
      <c r="D45" s="193">
        <f t="shared" ref="D45:D75" si="35">C45-B45</f>
        <v>-204312.13</v>
      </c>
      <c r="E45" s="194">
        <f t="shared" si="27"/>
        <v>-0.72199053305039673</v>
      </c>
      <c r="F45" s="230"/>
      <c r="G45" s="168">
        <f>'ADB Inc. Statement'!G45+'ANT Inc Statement'!G45+'ACC Inc Statement'!G45+'PUC Inc. Statement'!G45+'AASPA Inc. Statement'!G45+'AFSC Inc. Statement'!G45+'PSPF Inc. Statement'!G45+'ATB Inc. Statement'!G45+'ASSB Inc. Statement'!G45</f>
        <v>333984</v>
      </c>
      <c r="H45" s="165">
        <f>'ADB Inc. Statement'!H45+'ANT Inc Statement'!H45+'ACC Inc Statement'!H45+'PUC Inc. Statement'!H45+'AASPA Inc. Statement'!H45+'AFSC Inc. Statement'!H45+'PSPF Inc. Statement'!H45+'ATB Inc. Statement'!H45+'ASSB Inc. Statement'!H45</f>
        <v>36636.76</v>
      </c>
      <c r="I45" s="193">
        <f t="shared" ref="I45:I75" si="36">H45-G45</f>
        <v>-297347.24</v>
      </c>
      <c r="J45" s="195">
        <f t="shared" si="28"/>
        <v>-0.89030384689086894</v>
      </c>
      <c r="K45" s="230"/>
      <c r="L45" s="165">
        <f>'ADB Inc. Statement'!L45+'ANT Inc Statement'!L45+'ACC Inc Statement'!L45+'PUC Inc. Statement'!L45+'AASPA Inc. Statement'!L45+'AFSC Inc. Statement'!L45+'PSPF Inc. Statement'!L45+'ATB Inc. Statement'!L45+'ASSB Inc. Statement'!L45</f>
        <v>299984</v>
      </c>
      <c r="M45" s="165">
        <f>'ADB Inc. Statement'!M45+'ANT Inc Statement'!M45+'ACC Inc Statement'!M45+'PUC Inc. Statement'!M45+'AASPA Inc. Statement'!M45+'AFSC Inc. Statement'!M45+'PSPF Inc. Statement'!M45+'ATB Inc. Statement'!M45+'ASSB Inc. Statement'!M45</f>
        <v>46448.770000000004</v>
      </c>
      <c r="N45" s="193">
        <f t="shared" ref="N45:N75" si="37">M45-L45</f>
        <v>-253535.22999999998</v>
      </c>
      <c r="O45" s="196">
        <f t="shared" si="29"/>
        <v>-0.84516250866712883</v>
      </c>
      <c r="P45" s="230"/>
      <c r="Q45" s="165">
        <f>'ADB Inc. Statement'!Q45+'ANT Inc Statement'!Q45+'ACC Inc Statement'!Q45+'PUC Inc. Statement'!Q45+'AASPA Inc. Statement'!Q45+'AFSC Inc. Statement'!Q45+'PSPF Inc. Statement'!Q45+'ATB Inc. Statement'!Q45+'ASSB Inc. Statement'!Q45</f>
        <v>271790.84999999998</v>
      </c>
      <c r="R45" s="165">
        <f>'ADB Inc. Statement'!R45+'ANT Inc Statement'!R45+'ACC Inc Statement'!R45+'PUC Inc. Statement'!R45+'AASPA Inc. Statement'!R45+'AFSC Inc. Statement'!R45+'PSPF Inc. Statement'!R45+'ATB Inc. Statement'!R45+'ASSB Inc. Statement'!R45</f>
        <v>219780.97376200001</v>
      </c>
      <c r="S45" s="193">
        <f t="shared" ref="S45:S75" si="38">R45-Q45</f>
        <v>-52009.876237999968</v>
      </c>
      <c r="T45" s="1212">
        <f t="shared" si="30"/>
        <v>-0.19135992340433819</v>
      </c>
      <c r="U45" s="785"/>
      <c r="V45" s="198">
        <f t="shared" si="31"/>
        <v>1188743.3500000001</v>
      </c>
      <c r="W45" s="193">
        <f t="shared" si="31"/>
        <v>381538.873762</v>
      </c>
      <c r="X45" s="193">
        <f t="shared" ref="X45:X75" si="39">W45-V45</f>
        <v>-807204.47623800009</v>
      </c>
      <c r="Y45" s="196">
        <f t="shared" si="32"/>
        <v>-0.67904016139228041</v>
      </c>
      <c r="Z45" s="231"/>
      <c r="AA45" s="168">
        <f>'ADB Inc. Statement'!AA45+'ANT Inc Statement'!AA45+'ACC Inc Statement'!AA45+'PUC Inc. Statement'!AA45+'AASPA Inc. Statement'!AA45+'AFSC Inc. Statement'!AA45+'PSPF Inc. Statement'!AA45+'ATB Inc. Statement'!AA45+'ASSB Inc. Statement'!AA45</f>
        <v>1204524.3500000001</v>
      </c>
      <c r="AB45" s="193">
        <f t="shared" si="33"/>
        <v>822985.47623800009</v>
      </c>
      <c r="AC45" s="196">
        <f t="shared" si="34"/>
        <v>0.68324519652757543</v>
      </c>
      <c r="AD45" s="230"/>
      <c r="AE45" s="1178"/>
    </row>
    <row r="46" spans="1:31" x14ac:dyDescent="0.3">
      <c r="A46" s="170" t="s">
        <v>127</v>
      </c>
      <c r="B46" s="168">
        <f>'ADB Inc. Statement'!B46+'ATB Inc. Statement'!B46+'AASPA Inc. Statement'!B46+'ACC Inc Statement'!B46+'ANT Inc Statement'!B46+'PSPF Inc. Statement'!B46+'AFSC Inc. Statement'!B46+'PUC Inc. Statement'!B46+'ASSB Inc. Statement'!B46</f>
        <v>85583.02</v>
      </c>
      <c r="C46" s="165">
        <f>'ADB Inc. Statement'!C46+'ANT Inc Statement'!C46+'ACC Inc Statement'!C46+'PUC Inc. Statement'!C46+'AASPA Inc. Statement'!C46+'AFSC Inc. Statement'!C46+'PSPF Inc. Statement'!C46+'ATB Inc. Statement'!C46+'ASSB Inc. Statement'!C46</f>
        <v>0</v>
      </c>
      <c r="D46" s="193">
        <f t="shared" si="35"/>
        <v>-85583.02</v>
      </c>
      <c r="E46" s="194">
        <f t="shared" si="27"/>
        <v>-1</v>
      </c>
      <c r="F46" s="230"/>
      <c r="G46" s="168">
        <f>'ADB Inc. Statement'!G46+'ANT Inc Statement'!G46+'ACC Inc Statement'!G46+'PUC Inc. Statement'!G46+'AASPA Inc. Statement'!G46+'AFSC Inc. Statement'!G46+'PSPF Inc. Statement'!G46+'ATB Inc. Statement'!G46+'ASSB Inc. Statement'!G46</f>
        <v>85583.02</v>
      </c>
      <c r="H46" s="165">
        <f>'ADB Inc. Statement'!H46+'ANT Inc Statement'!H46+'ACC Inc Statement'!H46+'PUC Inc. Statement'!H46+'AASPA Inc. Statement'!H46+'AFSC Inc. Statement'!H46+'PSPF Inc. Statement'!H46+'ATB Inc. Statement'!H46+'ASSB Inc. Statement'!H46</f>
        <v>0</v>
      </c>
      <c r="I46" s="193">
        <f t="shared" si="36"/>
        <v>-85583.02</v>
      </c>
      <c r="J46" s="195">
        <f t="shared" si="28"/>
        <v>-1</v>
      </c>
      <c r="K46" s="230"/>
      <c r="L46" s="165">
        <f>'ADB Inc. Statement'!L46+'ANT Inc Statement'!L46+'ACC Inc Statement'!L46+'PUC Inc. Statement'!L46+'AASPA Inc. Statement'!L46+'AFSC Inc. Statement'!L46+'PSPF Inc. Statement'!L46+'ATB Inc. Statement'!L46+'ASSB Inc. Statement'!L46</f>
        <v>85583.010000000009</v>
      </c>
      <c r="M46" s="165">
        <f>'ADB Inc. Statement'!M46+'ANT Inc Statement'!M46+'ACC Inc Statement'!M46+'PUC Inc. Statement'!M46+'AASPA Inc. Statement'!M46+'AFSC Inc. Statement'!M46+'PSPF Inc. Statement'!M46+'ATB Inc. Statement'!M46+'ASSB Inc. Statement'!M46</f>
        <v>102650.25</v>
      </c>
      <c r="N46" s="193">
        <f t="shared" si="37"/>
        <v>17067.239999999991</v>
      </c>
      <c r="O46" s="196">
        <f t="shared" si="29"/>
        <v>0.1994232266427646</v>
      </c>
      <c r="P46" s="230"/>
      <c r="Q46" s="165">
        <f>'ADB Inc. Statement'!Q46+'ANT Inc Statement'!Q46+'ACC Inc Statement'!Q46+'PUC Inc. Statement'!Q46+'AASPA Inc. Statement'!Q46+'AFSC Inc. Statement'!Q46+'PSPF Inc. Statement'!Q46+'ATB Inc. Statement'!Q46+'ASSB Inc. Statement'!Q46</f>
        <v>85583</v>
      </c>
      <c r="R46" s="165">
        <f>'ADB Inc. Statement'!R46+'ANT Inc Statement'!R46+'ACC Inc Statement'!R46+'PUC Inc. Statement'!R46+'AASPA Inc. Statement'!R46+'AFSC Inc. Statement'!R46+'PSPF Inc. Statement'!R46+'ATB Inc. Statement'!R46+'ASSB Inc. Statement'!R46</f>
        <v>319779</v>
      </c>
      <c r="S46" s="193">
        <f t="shared" si="38"/>
        <v>234196</v>
      </c>
      <c r="T46" s="1212">
        <f t="shared" si="30"/>
        <v>2.7364780388628582</v>
      </c>
      <c r="U46" s="785"/>
      <c r="V46" s="198">
        <f t="shared" si="31"/>
        <v>342332.05000000005</v>
      </c>
      <c r="W46" s="193">
        <f t="shared" si="31"/>
        <v>422429.25</v>
      </c>
      <c r="X46" s="193">
        <f t="shared" si="39"/>
        <v>80097.199999999953</v>
      </c>
      <c r="Y46" s="196">
        <f t="shared" si="32"/>
        <v>0.23397517118248187</v>
      </c>
      <c r="Z46" s="231"/>
      <c r="AA46" s="168">
        <f>'ADB Inc. Statement'!AA46+'ANT Inc Statement'!AA46+'ACC Inc Statement'!AA46+'PUC Inc. Statement'!AA46+'AASPA Inc. Statement'!AA46+'AFSC Inc. Statement'!AA46+'PSPF Inc. Statement'!AA46+'ATB Inc. Statement'!AA46+'ASSB Inc. Statement'!AA46</f>
        <v>342333</v>
      </c>
      <c r="AB46" s="193">
        <f t="shared" si="33"/>
        <v>-80096.25</v>
      </c>
      <c r="AC46" s="196">
        <f t="shared" si="34"/>
        <v>-0.23397174680793262</v>
      </c>
      <c r="AD46" s="230"/>
      <c r="AE46" s="1178"/>
    </row>
    <row r="47" spans="1:31" x14ac:dyDescent="0.3">
      <c r="A47" s="170" t="s">
        <v>86</v>
      </c>
      <c r="B47" s="168">
        <f>'ADB Inc. Statement'!B47+'ATB Inc. Statement'!B47+'AASPA Inc. Statement'!B47+'ACC Inc Statement'!B47+'ANT Inc Statement'!B47+'PSPF Inc. Statement'!B47+'AFSC Inc. Statement'!B47+'PUC Inc. Statement'!B47+'ASSB Inc. Statement'!B47</f>
        <v>166387.43675200001</v>
      </c>
      <c r="C47" s="165">
        <f>'ADB Inc. Statement'!C47+'ANT Inc Statement'!C47+'ACC Inc Statement'!C47+'PUC Inc. Statement'!C47+'AASPA Inc. Statement'!C47+'AFSC Inc. Statement'!C47+'PSPF Inc. Statement'!C47+'ATB Inc. Statement'!C47+'ASSB Inc. Statement'!C47</f>
        <v>146010.86103400003</v>
      </c>
      <c r="D47" s="193">
        <f t="shared" si="35"/>
        <v>-20376.575717999978</v>
      </c>
      <c r="E47" s="194">
        <f t="shared" si="27"/>
        <v>-0.12246462903549145</v>
      </c>
      <c r="F47" s="230"/>
      <c r="G47" s="168">
        <f>'ADB Inc. Statement'!G47+'ANT Inc Statement'!G47+'ACC Inc Statement'!G47+'PUC Inc. Statement'!G47+'AASPA Inc. Statement'!G47+'AFSC Inc. Statement'!G47+'PSPF Inc. Statement'!G47+'ATB Inc. Statement'!G47+'ASSB Inc. Statement'!G47</f>
        <v>182331.86028400002</v>
      </c>
      <c r="H47" s="165">
        <f>'ADB Inc. Statement'!H47+'ANT Inc Statement'!H47+'ACC Inc Statement'!H47+'PUC Inc. Statement'!H47+'AASPA Inc. Statement'!H47+'AFSC Inc. Statement'!H47+'PSPF Inc. Statement'!H47+'ATB Inc. Statement'!H47+'ASSB Inc. Statement'!H47</f>
        <v>134371.248914</v>
      </c>
      <c r="I47" s="193">
        <f t="shared" si="36"/>
        <v>-47960.611370000028</v>
      </c>
      <c r="J47" s="195">
        <f t="shared" si="28"/>
        <v>-0.26304021302309205</v>
      </c>
      <c r="K47" s="230"/>
      <c r="L47" s="165">
        <f>'ADB Inc. Statement'!L47+'ANT Inc Statement'!L47+'ACC Inc Statement'!L47+'PUC Inc. Statement'!L47+'AASPA Inc. Statement'!L47+'AFSC Inc. Statement'!L47+'PSPF Inc. Statement'!L47+'ATB Inc. Statement'!L47+'ASSB Inc. Statement'!L47</f>
        <v>141358.07509</v>
      </c>
      <c r="M47" s="165">
        <f>'ADB Inc. Statement'!M47+'ANT Inc Statement'!M47+'ACC Inc Statement'!M47+'PUC Inc. Statement'!M47+'AASPA Inc. Statement'!M47+'AFSC Inc. Statement'!M47+'PSPF Inc. Statement'!M47+'ATB Inc. Statement'!M47+'ASSB Inc. Statement'!M47</f>
        <v>118417.26594</v>
      </c>
      <c r="N47" s="193">
        <f t="shared" si="37"/>
        <v>-22940.809150000001</v>
      </c>
      <c r="O47" s="196">
        <f t="shared" si="29"/>
        <v>-0.16228863568914634</v>
      </c>
      <c r="P47" s="230"/>
      <c r="Q47" s="165">
        <f>'ADB Inc. Statement'!Q47+'ANT Inc Statement'!Q47+'ACC Inc Statement'!Q47+'PUC Inc. Statement'!Q47+'AASPA Inc. Statement'!Q47+'AFSC Inc. Statement'!Q47+'PSPF Inc. Statement'!Q47+'ATB Inc. Statement'!Q47+'ASSB Inc. Statement'!Q47</f>
        <v>107507.761344</v>
      </c>
      <c r="R47" s="165">
        <f>'ADB Inc. Statement'!R47+'ANT Inc Statement'!R47+'ACC Inc Statement'!R47+'PUC Inc. Statement'!R47+'AASPA Inc. Statement'!R47+'AFSC Inc. Statement'!R47+'PSPF Inc. Statement'!R47+'ATB Inc. Statement'!R47+'ASSB Inc. Statement'!R47</f>
        <v>93014.957580000002</v>
      </c>
      <c r="S47" s="193">
        <f t="shared" si="38"/>
        <v>-14492.803763999997</v>
      </c>
      <c r="T47" s="1212">
        <f t="shared" si="30"/>
        <v>-0.13480704632688215</v>
      </c>
      <c r="U47" s="785"/>
      <c r="V47" s="198">
        <f t="shared" si="31"/>
        <v>597585.13347</v>
      </c>
      <c r="W47" s="193">
        <f t="shared" si="31"/>
        <v>491814.33346800006</v>
      </c>
      <c r="X47" s="193">
        <f t="shared" si="39"/>
        <v>-105770.80000199995</v>
      </c>
      <c r="Y47" s="196">
        <f t="shared" si="32"/>
        <v>-0.1769970403845561</v>
      </c>
      <c r="Z47" s="231"/>
      <c r="AA47" s="168">
        <f>'ADB Inc. Statement'!AA47+'ANT Inc Statement'!AA47+'ACC Inc Statement'!AA47+'PUC Inc. Statement'!AA47+'AASPA Inc. Statement'!AA47+'AFSC Inc. Statement'!AA47+'PSPF Inc. Statement'!AA47+'ATB Inc. Statement'!AA47+'ASSB Inc. Statement'!AA47</f>
        <v>600585.47412499995</v>
      </c>
      <c r="AB47" s="193">
        <f t="shared" si="33"/>
        <v>108771.14065699989</v>
      </c>
      <c r="AC47" s="196">
        <f t="shared" si="34"/>
        <v>0.18110851051712473</v>
      </c>
      <c r="AD47" s="230"/>
      <c r="AE47" s="1183"/>
    </row>
    <row r="48" spans="1:31" x14ac:dyDescent="0.3">
      <c r="A48" s="170" t="s">
        <v>87</v>
      </c>
      <c r="B48" s="168">
        <f>'ADB Inc. Statement'!B48+'ATB Inc. Statement'!B48+'AASPA Inc. Statement'!B48+'ACC Inc Statement'!B48+'ANT Inc Statement'!B48+'PSPF Inc. Statement'!B48+'AFSC Inc. Statement'!B48+'PUC Inc. Statement'!B48+'ASSB Inc. Statement'!B48</f>
        <v>33098.81</v>
      </c>
      <c r="C48" s="165">
        <f>'ADB Inc. Statement'!C48+'ANT Inc Statement'!C48+'ACC Inc Statement'!C48+'PUC Inc. Statement'!C48+'AASPA Inc. Statement'!C48+'AFSC Inc. Statement'!C48+'PSPF Inc. Statement'!C48+'ATB Inc. Statement'!C48+'ASSB Inc. Statement'!C48</f>
        <v>60132.282750000006</v>
      </c>
      <c r="D48" s="193">
        <f t="shared" si="35"/>
        <v>27033.472750000008</v>
      </c>
      <c r="E48" s="194">
        <f t="shared" si="27"/>
        <v>0.81675059465884148</v>
      </c>
      <c r="F48" s="230"/>
      <c r="G48" s="168">
        <f>'ADB Inc. Statement'!G48+'ANT Inc Statement'!G48+'ACC Inc Statement'!G48+'PUC Inc. Statement'!G48+'AASPA Inc. Statement'!G48+'AFSC Inc. Statement'!G48+'PSPF Inc. Statement'!G48+'ATB Inc. Statement'!G48+'ASSB Inc. Statement'!G48</f>
        <v>33616.550000000003</v>
      </c>
      <c r="H48" s="165">
        <f>'ADB Inc. Statement'!H48+'ANT Inc Statement'!H48+'ACC Inc Statement'!H48+'PUC Inc. Statement'!H48+'AASPA Inc. Statement'!H48+'AFSC Inc. Statement'!H48+'PSPF Inc. Statement'!H48+'ATB Inc. Statement'!H48+'ASSB Inc. Statement'!H48</f>
        <v>42403.022286000007</v>
      </c>
      <c r="I48" s="193">
        <f t="shared" si="36"/>
        <v>8786.4722860000038</v>
      </c>
      <c r="J48" s="195">
        <f t="shared" si="28"/>
        <v>0.26137340940697373</v>
      </c>
      <c r="K48" s="230"/>
      <c r="L48" s="165">
        <f>'ADB Inc. Statement'!L48+'ANT Inc Statement'!L48+'ACC Inc Statement'!L48+'PUC Inc. Statement'!L48+'AASPA Inc. Statement'!L48+'AFSC Inc. Statement'!L48+'PSPF Inc. Statement'!L48+'ATB Inc. Statement'!L48+'ASSB Inc. Statement'!L48</f>
        <v>59463.920000000006</v>
      </c>
      <c r="M48" s="165">
        <f>'ADB Inc. Statement'!M48+'ANT Inc Statement'!M48+'ACC Inc Statement'!M48+'PUC Inc. Statement'!M48+'AASPA Inc. Statement'!M48+'AFSC Inc. Statement'!M48+'PSPF Inc. Statement'!M48+'ATB Inc. Statement'!M48+'ASSB Inc. Statement'!M48</f>
        <v>72763.073588000014</v>
      </c>
      <c r="N48" s="193">
        <f t="shared" si="37"/>
        <v>13299.153588000008</v>
      </c>
      <c r="O48" s="196">
        <f t="shared" si="29"/>
        <v>0.22365080519414138</v>
      </c>
      <c r="P48" s="230"/>
      <c r="Q48" s="165">
        <f>'ADB Inc. Statement'!Q48+'ANT Inc Statement'!Q48+'ACC Inc Statement'!Q48+'PUC Inc. Statement'!Q48+'AASPA Inc. Statement'!Q48+'AFSC Inc. Statement'!Q48+'PSPF Inc. Statement'!Q48+'ATB Inc. Statement'!Q48+'ASSB Inc. Statement'!Q48</f>
        <v>57394.76</v>
      </c>
      <c r="R48" s="165">
        <f>'ADB Inc. Statement'!R48+'ANT Inc Statement'!R48+'ACC Inc Statement'!R48+'PUC Inc. Statement'!R48+'AASPA Inc. Statement'!R48+'AFSC Inc. Statement'!R48+'PSPF Inc. Statement'!R48+'ATB Inc. Statement'!R48+'ASSB Inc. Statement'!R48</f>
        <v>113521.20792000002</v>
      </c>
      <c r="S48" s="193">
        <f t="shared" si="38"/>
        <v>56126.447920000013</v>
      </c>
      <c r="T48" s="1212">
        <f t="shared" si="30"/>
        <v>0.97790195341874431</v>
      </c>
      <c r="U48" s="785"/>
      <c r="V48" s="198">
        <f t="shared" si="31"/>
        <v>183574.04</v>
      </c>
      <c r="W48" s="193">
        <f t="shared" si="31"/>
        <v>288819.58654400002</v>
      </c>
      <c r="X48" s="193">
        <f t="shared" si="39"/>
        <v>105245.54654400001</v>
      </c>
      <c r="Y48" s="196">
        <f t="shared" si="32"/>
        <v>0.57331388764990954</v>
      </c>
      <c r="Z48" s="231"/>
      <c r="AA48" s="168">
        <f>'ADB Inc. Statement'!AA48+'ANT Inc Statement'!AA48+'ACC Inc Statement'!AA48+'PUC Inc. Statement'!AA48+'AASPA Inc. Statement'!AA48+'AFSC Inc. Statement'!AA48+'PSPF Inc. Statement'!AA48+'ATB Inc. Statement'!AA48+'ASSB Inc. Statement'!AA48</f>
        <v>62500</v>
      </c>
      <c r="AB48" s="193">
        <f t="shared" si="33"/>
        <v>-226319.58654400002</v>
      </c>
      <c r="AC48" s="196">
        <f t="shared" si="34"/>
        <v>-3.6211133847040005</v>
      </c>
      <c r="AD48" s="230"/>
      <c r="AE48" s="1178"/>
    </row>
    <row r="49" spans="1:31" x14ac:dyDescent="0.3">
      <c r="A49" s="170" t="s">
        <v>88</v>
      </c>
      <c r="B49" s="168">
        <f>'ADB Inc. Statement'!B49+'ATB Inc. Statement'!B49+'AASPA Inc. Statement'!B49+'ACC Inc Statement'!B49+'ANT Inc Statement'!B49+'PSPF Inc. Statement'!B49+'AFSC Inc. Statement'!B49+'PUC Inc. Statement'!B49+'ASSB Inc. Statement'!B49</f>
        <v>111541.75</v>
      </c>
      <c r="C49" s="165">
        <f>'ADB Inc. Statement'!C49+'ANT Inc Statement'!C49+'ACC Inc Statement'!C49+'PUC Inc. Statement'!C49+'AASPA Inc. Statement'!C49+'AFSC Inc. Statement'!C49+'PSPF Inc. Statement'!C49+'ATB Inc. Statement'!C49+'ASSB Inc. Statement'!C49</f>
        <v>82200.172649999993</v>
      </c>
      <c r="D49" s="193">
        <f t="shared" si="35"/>
        <v>-29341.577350000007</v>
      </c>
      <c r="E49" s="194">
        <f t="shared" si="27"/>
        <v>-0.26305466204358463</v>
      </c>
      <c r="F49" s="171"/>
      <c r="G49" s="168">
        <f>'ADB Inc. Statement'!G49+'ANT Inc Statement'!G49+'ACC Inc Statement'!G49+'PUC Inc. Statement'!G49+'AASPA Inc. Statement'!G49+'AFSC Inc. Statement'!G49+'PSPF Inc. Statement'!G49+'ATB Inc. Statement'!G49+'ASSB Inc. Statement'!G49</f>
        <v>110073.35</v>
      </c>
      <c r="H49" s="165">
        <f>'ADB Inc. Statement'!H49+'ANT Inc Statement'!H49+'ACC Inc Statement'!H49+'PUC Inc. Statement'!H49+'AASPA Inc. Statement'!H49+'AFSC Inc. Statement'!H49+'PSPF Inc. Statement'!H49+'ATB Inc. Statement'!H49+'ASSB Inc. Statement'!H49</f>
        <v>81041.289078000002</v>
      </c>
      <c r="I49" s="193">
        <f t="shared" si="36"/>
        <v>-29032.060922000004</v>
      </c>
      <c r="J49" s="195">
        <f t="shared" si="28"/>
        <v>-0.26375195196657503</v>
      </c>
      <c r="K49" s="171"/>
      <c r="L49" s="165">
        <f>'ADB Inc. Statement'!L49+'ANT Inc Statement'!L49+'ACC Inc Statement'!L49+'PUC Inc. Statement'!L49+'AASPA Inc. Statement'!L49+'AFSC Inc. Statement'!L49+'PSPF Inc. Statement'!L49+'ATB Inc. Statement'!L49+'ASSB Inc. Statement'!L49</f>
        <v>110348.19</v>
      </c>
      <c r="M49" s="165">
        <f>'ADB Inc. Statement'!M49+'ANT Inc Statement'!M49+'ACC Inc Statement'!M49+'PUC Inc. Statement'!M49+'AASPA Inc. Statement'!M49+'AFSC Inc. Statement'!M49+'PSPF Inc. Statement'!M49+'ATB Inc. Statement'!M49+'ASSB Inc. Statement'!M49</f>
        <v>78754.944017999995</v>
      </c>
      <c r="N49" s="193">
        <f t="shared" si="37"/>
        <v>-31593.245982000008</v>
      </c>
      <c r="O49" s="196">
        <f t="shared" si="29"/>
        <v>-0.28630506745964757</v>
      </c>
      <c r="P49" s="171"/>
      <c r="Q49" s="165">
        <f>'ADB Inc. Statement'!Q49+'ANT Inc Statement'!Q49+'ACC Inc Statement'!Q49+'PUC Inc. Statement'!Q49+'AASPA Inc. Statement'!Q49+'AFSC Inc. Statement'!Q49+'PSPF Inc. Statement'!Q49+'ATB Inc. Statement'!Q49+'ASSB Inc. Statement'!Q49</f>
        <v>76120.59</v>
      </c>
      <c r="R49" s="165">
        <f>'ADB Inc. Statement'!R49+'ANT Inc Statement'!R49+'ACC Inc Statement'!R49+'PUC Inc. Statement'!R49+'AASPA Inc. Statement'!R49+'AFSC Inc. Statement'!R49+'PSPF Inc. Statement'!R49+'ATB Inc. Statement'!R49+'ASSB Inc. Statement'!R49</f>
        <v>68759.791632000008</v>
      </c>
      <c r="S49" s="193">
        <f t="shared" si="38"/>
        <v>-7360.7983679999888</v>
      </c>
      <c r="T49" s="1212">
        <f t="shared" si="30"/>
        <v>-9.669917650401802E-2</v>
      </c>
      <c r="U49" s="783"/>
      <c r="V49" s="198">
        <f t="shared" si="31"/>
        <v>408083.88</v>
      </c>
      <c r="W49" s="193">
        <f t="shared" si="31"/>
        <v>310756.19737800001</v>
      </c>
      <c r="X49" s="193">
        <f t="shared" si="39"/>
        <v>-97327.682621999993</v>
      </c>
      <c r="Y49" s="196">
        <f t="shared" si="32"/>
        <v>-0.23849920908907254</v>
      </c>
      <c r="Z49" s="169"/>
      <c r="AA49" s="168">
        <f>'ADB Inc. Statement'!AA49+'ANT Inc Statement'!AA49+'ACC Inc Statement'!AA49+'PUC Inc. Statement'!AA49+'AASPA Inc. Statement'!AA49+'AFSC Inc. Statement'!AA49+'PSPF Inc. Statement'!AA49+'ATB Inc. Statement'!AA49+'ASSB Inc. Statement'!AA49</f>
        <v>449033.88</v>
      </c>
      <c r="AB49" s="193">
        <f t="shared" si="33"/>
        <v>138277.68262199999</v>
      </c>
      <c r="AC49" s="196">
        <f t="shared" si="34"/>
        <v>0.30794487627971412</v>
      </c>
      <c r="AD49" s="171"/>
      <c r="AE49" s="1183"/>
    </row>
    <row r="50" spans="1:31" x14ac:dyDescent="0.3">
      <c r="A50" s="170" t="s">
        <v>89</v>
      </c>
      <c r="B50" s="168">
        <f>'ADB Inc. Statement'!B50+'ATB Inc. Statement'!B50+'AASPA Inc. Statement'!B50+'ACC Inc Statement'!B50+'ANT Inc Statement'!B50+'PSPF Inc. Statement'!B50+'AFSC Inc. Statement'!B50+'PUC Inc. Statement'!B50+'ASSB Inc. Statement'!B50</f>
        <v>509524.7</v>
      </c>
      <c r="C50" s="165">
        <f>'ADB Inc. Statement'!C50+'ANT Inc Statement'!C50+'ACC Inc Statement'!C50+'PUC Inc. Statement'!C50+'AASPA Inc. Statement'!C50+'AFSC Inc. Statement'!C50+'PSPF Inc. Statement'!C50+'ATB Inc. Statement'!C50+'ASSB Inc. Statement'!C50</f>
        <v>850410.56754399999</v>
      </c>
      <c r="D50" s="193">
        <f t="shared" si="35"/>
        <v>340885.86754399998</v>
      </c>
      <c r="E50" s="194">
        <f t="shared" si="27"/>
        <v>0.66902716893606917</v>
      </c>
      <c r="F50" s="171"/>
      <c r="G50" s="168">
        <f>'ADB Inc. Statement'!G50+'ANT Inc Statement'!G50+'ACC Inc Statement'!G50+'PUC Inc. Statement'!G50+'AASPA Inc. Statement'!G50+'AFSC Inc. Statement'!G50+'PSPF Inc. Statement'!G50+'ATB Inc. Statement'!G50+'ASSB Inc. Statement'!G50</f>
        <v>633722.34000000008</v>
      </c>
      <c r="H50" s="165">
        <f>'ADB Inc. Statement'!H50+'ANT Inc Statement'!H50+'ACC Inc Statement'!H50+'PUC Inc. Statement'!H50+'AASPA Inc. Statement'!H50+'AFSC Inc. Statement'!H50+'PSPF Inc. Statement'!H50+'ATB Inc. Statement'!H50+'ASSB Inc. Statement'!H50</f>
        <v>968531.62560000003</v>
      </c>
      <c r="I50" s="193">
        <f t="shared" si="36"/>
        <v>334809.28559999994</v>
      </c>
      <c r="J50" s="195">
        <f t="shared" si="28"/>
        <v>0.52832173408941197</v>
      </c>
      <c r="K50" s="171"/>
      <c r="L50" s="165">
        <f>'ADB Inc. Statement'!L50+'ANT Inc Statement'!L50+'ACC Inc Statement'!L50+'PUC Inc. Statement'!L50+'AASPA Inc. Statement'!L50+'AFSC Inc. Statement'!L50+'PSPF Inc. Statement'!L50+'ATB Inc. Statement'!L50+'ASSB Inc. Statement'!L50</f>
        <v>529716.5</v>
      </c>
      <c r="M50" s="165">
        <f>'ADB Inc. Statement'!M50+'ANT Inc Statement'!M50+'ACC Inc Statement'!M50+'PUC Inc. Statement'!M50+'AASPA Inc. Statement'!M50+'AFSC Inc. Statement'!M50+'PSPF Inc. Statement'!M50+'ATB Inc. Statement'!M50+'ASSB Inc. Statement'!M50</f>
        <v>438316.72440000001</v>
      </c>
      <c r="N50" s="193">
        <f t="shared" si="37"/>
        <v>-91399.775599999994</v>
      </c>
      <c r="O50" s="196">
        <f t="shared" si="29"/>
        <v>-0.1725447019301834</v>
      </c>
      <c r="P50" s="171"/>
      <c r="Q50" s="165">
        <f>'ADB Inc. Statement'!Q50+'ANT Inc Statement'!Q50+'ACC Inc Statement'!Q50+'PUC Inc. Statement'!Q50+'AASPA Inc. Statement'!Q50+'AFSC Inc. Statement'!Q50+'PSPF Inc. Statement'!Q50+'ATB Inc. Statement'!Q50+'ASSB Inc. Statement'!Q50</f>
        <v>746722.804</v>
      </c>
      <c r="R50" s="165">
        <f>'ADB Inc. Statement'!R50+'ANT Inc Statement'!R50+'ACC Inc Statement'!R50+'PUC Inc. Statement'!R50+'AASPA Inc. Statement'!R50+'AFSC Inc. Statement'!R50+'PSPF Inc. Statement'!R50+'ATB Inc. Statement'!R50+'ASSB Inc. Statement'!R50</f>
        <v>366288.61820000003</v>
      </c>
      <c r="S50" s="193">
        <f t="shared" si="38"/>
        <v>-380434.18579999998</v>
      </c>
      <c r="T50" s="1212">
        <f t="shared" si="30"/>
        <v>-0.5094717661789796</v>
      </c>
      <c r="U50" s="783"/>
      <c r="V50" s="198">
        <f t="shared" si="31"/>
        <v>2419686.344</v>
      </c>
      <c r="W50" s="193">
        <f t="shared" si="31"/>
        <v>2623547.5357440002</v>
      </c>
      <c r="X50" s="193">
        <f t="shared" si="39"/>
        <v>203861.19174400019</v>
      </c>
      <c r="Y50" s="196">
        <f t="shared" si="32"/>
        <v>8.4251081653416229E-2</v>
      </c>
      <c r="Z50" s="169"/>
      <c r="AA50" s="168">
        <f>'ADB Inc. Statement'!AA50+'ANT Inc Statement'!AA50+'ACC Inc Statement'!AA50+'PUC Inc. Statement'!AA50+'AASPA Inc. Statement'!AA50+'AFSC Inc. Statement'!AA50+'PSPF Inc. Statement'!AA50+'ATB Inc. Statement'!AA50+'ASSB Inc. Statement'!AA50</f>
        <v>1767341</v>
      </c>
      <c r="AB50" s="193">
        <f t="shared" si="33"/>
        <v>-856206.53574400023</v>
      </c>
      <c r="AC50" s="196">
        <f t="shared" si="34"/>
        <v>-0.48446029133257262</v>
      </c>
      <c r="AD50" s="171"/>
      <c r="AE50" s="1183"/>
    </row>
    <row r="51" spans="1:31" x14ac:dyDescent="0.3">
      <c r="A51" s="170" t="s">
        <v>113</v>
      </c>
      <c r="B51" s="168">
        <f>'ADB Inc. Statement'!B51+'ATB Inc. Statement'!B51+'AASPA Inc. Statement'!B51+'ACC Inc Statement'!B51+'ANT Inc Statement'!B51+'PSPF Inc. Statement'!B51+'AFSC Inc. Statement'!B51+'PUC Inc. Statement'!B51+'ASSB Inc. Statement'!B51</f>
        <v>82447</v>
      </c>
      <c r="C51" s="165">
        <f>'ADB Inc. Statement'!C51+'ANT Inc Statement'!C51+'ACC Inc Statement'!C51+'PUC Inc. Statement'!C51+'AASPA Inc. Statement'!C51+'AFSC Inc. Statement'!C51+'PSPF Inc. Statement'!C51+'ATB Inc. Statement'!C51+'ASSB Inc. Statement'!C51</f>
        <v>81482</v>
      </c>
      <c r="D51" s="193">
        <f t="shared" si="35"/>
        <v>-965</v>
      </c>
      <c r="E51" s="194">
        <f t="shared" si="27"/>
        <v>-1.1704488944412774E-2</v>
      </c>
      <c r="F51" s="171"/>
      <c r="G51" s="168">
        <f>'ADB Inc. Statement'!G51+'ANT Inc Statement'!G51+'ACC Inc Statement'!G51+'PUC Inc. Statement'!G51+'AASPA Inc. Statement'!G51+'AFSC Inc. Statement'!G51+'PSPF Inc. Statement'!G51+'ATB Inc. Statement'!G51+'ASSB Inc. Statement'!G51</f>
        <v>82446</v>
      </c>
      <c r="H51" s="165">
        <f>'ADB Inc. Statement'!H51+'ANT Inc Statement'!H51+'ACC Inc Statement'!H51+'PUC Inc. Statement'!H51+'AASPA Inc. Statement'!H51+'AFSC Inc. Statement'!H51+'PSPF Inc. Statement'!H51+'ATB Inc. Statement'!H51+'ASSB Inc. Statement'!H51</f>
        <v>78074.429999999993</v>
      </c>
      <c r="I51" s="193">
        <f t="shared" si="36"/>
        <v>-4371.570000000007</v>
      </c>
      <c r="J51" s="195">
        <f t="shared" si="28"/>
        <v>-5.302343352012235E-2</v>
      </c>
      <c r="K51" s="171"/>
      <c r="L51" s="165">
        <f>'ADB Inc. Statement'!L51+'ANT Inc Statement'!L51+'ACC Inc Statement'!L51+'PUC Inc. Statement'!L51+'AASPA Inc. Statement'!L51+'AFSC Inc. Statement'!L51+'PSPF Inc. Statement'!L51+'ATB Inc. Statement'!L51+'ASSB Inc. Statement'!L51</f>
        <v>82447</v>
      </c>
      <c r="M51" s="165">
        <f>'ADB Inc. Statement'!M51+'ANT Inc Statement'!M51+'ACC Inc Statement'!M51+'PUC Inc. Statement'!M51+'AASPA Inc. Statement'!M51+'AFSC Inc. Statement'!M51+'PSPF Inc. Statement'!M51+'ATB Inc. Statement'!M51+'ASSB Inc. Statement'!M51</f>
        <v>72739</v>
      </c>
      <c r="N51" s="193">
        <f t="shared" si="37"/>
        <v>-9708</v>
      </c>
      <c r="O51" s="196">
        <f t="shared" si="29"/>
        <v>-0.11774837168120125</v>
      </c>
      <c r="P51" s="171"/>
      <c r="Q51" s="165">
        <f>'ADB Inc. Statement'!Q51+'ANT Inc Statement'!Q51+'ACC Inc Statement'!Q51+'PUC Inc. Statement'!Q51+'AASPA Inc. Statement'!Q51+'AFSC Inc. Statement'!Q51+'PSPF Inc. Statement'!Q51+'ATB Inc. Statement'!Q51+'ASSB Inc. Statement'!Q51</f>
        <v>82446.99000000002</v>
      </c>
      <c r="R51" s="165">
        <f>'ADB Inc. Statement'!R51+'ANT Inc Statement'!R51+'ACC Inc Statement'!R51+'PUC Inc. Statement'!R51+'AASPA Inc. Statement'!R51+'AFSC Inc. Statement'!R51+'PSPF Inc. Statement'!R51+'ATB Inc. Statement'!R51+'ASSB Inc. Statement'!R51</f>
        <v>67564.12</v>
      </c>
      <c r="S51" s="193">
        <f t="shared" si="38"/>
        <v>-14882.870000000024</v>
      </c>
      <c r="T51" s="1212">
        <f t="shared" si="30"/>
        <v>-0.18051441295795057</v>
      </c>
      <c r="U51" s="783"/>
      <c r="V51" s="198"/>
      <c r="W51" s="193"/>
      <c r="X51" s="193">
        <f t="shared" si="39"/>
        <v>0</v>
      </c>
      <c r="Y51" s="196" t="str">
        <f t="shared" si="32"/>
        <v>-</v>
      </c>
      <c r="Z51" s="169"/>
      <c r="AA51" s="168">
        <f>'ADB Inc. Statement'!AA51+'ANT Inc Statement'!AA51+'ACC Inc Statement'!AA51+'PUC Inc. Statement'!AA51+'AASPA Inc. Statement'!AA51+'AFSC Inc. Statement'!AA51+'PSPF Inc. Statement'!AA51+'ATB Inc. Statement'!AA51+'ASSB Inc. Statement'!AA51</f>
        <v>341790</v>
      </c>
      <c r="AB51" s="193">
        <f t="shared" si="33"/>
        <v>341790</v>
      </c>
      <c r="AC51" s="196">
        <f t="shared" si="34"/>
        <v>1</v>
      </c>
      <c r="AD51" s="171"/>
      <c r="AE51" s="1183"/>
    </row>
    <row r="52" spans="1:31" x14ac:dyDescent="0.3">
      <c r="A52" s="170" t="s">
        <v>126</v>
      </c>
      <c r="B52" s="168">
        <f>'ADB Inc. Statement'!B52+'ATB Inc. Statement'!B52+'AASPA Inc. Statement'!B52+'ACC Inc Statement'!B52+'ANT Inc Statement'!B52+'PSPF Inc. Statement'!B52+'AFSC Inc. Statement'!B52+'PUC Inc. Statement'!B52+'ASSB Inc. Statement'!B52</f>
        <v>266416.75</v>
      </c>
      <c r="C52" s="165">
        <f>'ADB Inc. Statement'!C52+'ANT Inc Statement'!C52+'ACC Inc Statement'!C52+'PUC Inc. Statement'!C52+'AASPA Inc. Statement'!C52+'AFSC Inc. Statement'!C52+'PSPF Inc. Statement'!C52+'ATB Inc. Statement'!C52+'ASSB Inc. Statement'!C52</f>
        <v>92987.659999999989</v>
      </c>
      <c r="D52" s="193">
        <f t="shared" si="35"/>
        <v>-173429.09000000003</v>
      </c>
      <c r="E52" s="194">
        <f t="shared" si="27"/>
        <v>-0.65096916766682289</v>
      </c>
      <c r="F52" s="230"/>
      <c r="G52" s="168">
        <f>'ADB Inc. Statement'!G52+'ANT Inc Statement'!G52+'ACC Inc Statement'!G52+'PUC Inc. Statement'!G52+'AASPA Inc. Statement'!G52+'AFSC Inc. Statement'!G52+'PSPF Inc. Statement'!G52+'ATB Inc. Statement'!G52+'ASSB Inc. Statement'!G52</f>
        <v>266416.75</v>
      </c>
      <c r="H52" s="165">
        <f>'ADB Inc. Statement'!H52+'ANT Inc Statement'!H52+'ACC Inc Statement'!H52+'PUC Inc. Statement'!H52+'AASPA Inc. Statement'!H52+'AFSC Inc. Statement'!H52+'PSPF Inc. Statement'!H52+'ATB Inc. Statement'!H52+'ASSB Inc. Statement'!H52</f>
        <v>93113.08</v>
      </c>
      <c r="I52" s="193">
        <f t="shared" si="36"/>
        <v>-173303.66999999998</v>
      </c>
      <c r="J52" s="195">
        <f t="shared" si="28"/>
        <v>-0.65049840147062821</v>
      </c>
      <c r="K52" s="230"/>
      <c r="L52" s="165">
        <f>'ADB Inc. Statement'!L52+'ANT Inc Statement'!L52+'ACC Inc Statement'!L52+'PUC Inc. Statement'!L52+'AASPA Inc. Statement'!L52+'AFSC Inc. Statement'!L52+'PSPF Inc. Statement'!L52+'ATB Inc. Statement'!L52+'ASSB Inc. Statement'!L52</f>
        <v>266417.75</v>
      </c>
      <c r="M52" s="165">
        <f>'ADB Inc. Statement'!M52+'ANT Inc Statement'!M52+'ACC Inc Statement'!M52+'PUC Inc. Statement'!M52+'AASPA Inc. Statement'!M52+'AFSC Inc. Statement'!M52+'PSPF Inc. Statement'!M52+'ATB Inc. Statement'!M52+'ASSB Inc. Statement'!M52</f>
        <v>109926.53</v>
      </c>
      <c r="N52" s="193">
        <f t="shared" si="37"/>
        <v>-156491.22</v>
      </c>
      <c r="O52" s="196">
        <f t="shared" si="29"/>
        <v>-0.58739036719587945</v>
      </c>
      <c r="P52" s="230"/>
      <c r="Q52" s="165">
        <f>'ADB Inc. Statement'!Q52+'ANT Inc Statement'!Q52+'ACC Inc Statement'!Q52+'PUC Inc. Statement'!Q52+'AASPA Inc. Statement'!Q52+'AFSC Inc. Statement'!Q52+'PSPF Inc. Statement'!Q52+'ATB Inc. Statement'!Q52+'ASSB Inc. Statement'!Q52</f>
        <v>606289.60181400005</v>
      </c>
      <c r="R52" s="165">
        <f>'ADB Inc. Statement'!R52+'ANT Inc Statement'!R52+'ACC Inc Statement'!R52+'PUC Inc. Statement'!R52+'AASPA Inc. Statement'!R52+'AFSC Inc. Statement'!R52+'PSPF Inc. Statement'!R52+'ATB Inc. Statement'!R52+'ASSB Inc. Statement'!R52</f>
        <v>6794716.1490719989</v>
      </c>
      <c r="S52" s="193">
        <f t="shared" si="38"/>
        <v>6188426.547257999</v>
      </c>
      <c r="T52" s="1212">
        <f t="shared" si="30"/>
        <v>10.207047141732952</v>
      </c>
      <c r="U52" s="785"/>
      <c r="V52" s="198">
        <f>B52+G52+L52+Q52</f>
        <v>1405540.8518139999</v>
      </c>
      <c r="W52" s="193">
        <f>C52+H52+M52+R52</f>
        <v>7090743.4190719984</v>
      </c>
      <c r="X52" s="193">
        <f t="shared" si="39"/>
        <v>5685202.5672579985</v>
      </c>
      <c r="Y52" s="196">
        <f t="shared" si="32"/>
        <v>4.044850464446224</v>
      </c>
      <c r="Z52" s="231"/>
      <c r="AA52" s="168">
        <f>'ADB Inc. Statement'!AA52+'ANT Inc Statement'!AA52+'ACC Inc Statement'!AA52+'PUC Inc. Statement'!AA52+'AASPA Inc. Statement'!AA52+'AFSC Inc. Statement'!AA52+'PSPF Inc. Statement'!AA52+'ATB Inc. Statement'!AA52+'ASSB Inc. Statement'!AA52</f>
        <v>1715283.4428453904</v>
      </c>
      <c r="AB52" s="193">
        <f t="shared" si="33"/>
        <v>-5375459.9762266083</v>
      </c>
      <c r="AC52" s="196">
        <f t="shared" si="34"/>
        <v>-3.133861052905373</v>
      </c>
      <c r="AD52" s="230"/>
      <c r="AE52" s="1178"/>
    </row>
    <row r="53" spans="1:31" x14ac:dyDescent="0.3">
      <c r="A53" s="170" t="s">
        <v>82</v>
      </c>
      <c r="B53" s="168">
        <f>'ADB Inc. Statement'!B53+'ATB Inc. Statement'!B53+'AASPA Inc. Statement'!B53+'ACC Inc Statement'!B53+'ANT Inc Statement'!B53+'PSPF Inc. Statement'!B53+'AFSC Inc. Statement'!B53+'PUC Inc. Statement'!B53+'ASSB Inc. Statement'!B53</f>
        <v>214368.75</v>
      </c>
      <c r="C53" s="165">
        <f>'ADB Inc. Statement'!C53+'ANT Inc Statement'!C53+'ACC Inc Statement'!C53+'PUC Inc. Statement'!C53+'AASPA Inc. Statement'!C53+'AFSC Inc. Statement'!C53+'PSPF Inc. Statement'!C53+'ATB Inc. Statement'!C53+'ASSB Inc. Statement'!C53</f>
        <v>172820.3</v>
      </c>
      <c r="D53" s="193">
        <f t="shared" si="35"/>
        <v>-41548.450000000012</v>
      </c>
      <c r="E53" s="194">
        <f t="shared" si="27"/>
        <v>-0.19381766232251674</v>
      </c>
      <c r="F53" s="230"/>
      <c r="G53" s="168">
        <f>'ADB Inc. Statement'!G53+'ANT Inc Statement'!G53+'ACC Inc Statement'!G53+'PUC Inc. Statement'!G53+'AASPA Inc. Statement'!G53+'AFSC Inc. Statement'!G53+'PSPF Inc. Statement'!G53+'ATB Inc. Statement'!G53+'ASSB Inc. Statement'!G53</f>
        <v>214368.75</v>
      </c>
      <c r="H53" s="165">
        <f>'ADB Inc. Statement'!H53+'ANT Inc Statement'!H53+'ACC Inc Statement'!H53+'PUC Inc. Statement'!H53+'AASPA Inc. Statement'!H53+'AFSC Inc. Statement'!H53+'PSPF Inc. Statement'!H53+'ATB Inc. Statement'!H53+'ASSB Inc. Statement'!H53</f>
        <v>172386.77000000002</v>
      </c>
      <c r="I53" s="193">
        <f t="shared" si="36"/>
        <v>-41981.979999999981</v>
      </c>
      <c r="J53" s="195">
        <f t="shared" si="28"/>
        <v>-0.19584001865943604</v>
      </c>
      <c r="K53" s="230"/>
      <c r="L53" s="165">
        <f>'ADB Inc. Statement'!L53+'ANT Inc Statement'!L53+'ACC Inc Statement'!L53+'PUC Inc. Statement'!L53+'AASPA Inc. Statement'!L53+'AFSC Inc. Statement'!L53+'PSPF Inc. Statement'!L53+'ATB Inc. Statement'!L53+'ASSB Inc. Statement'!L53</f>
        <v>214368.75</v>
      </c>
      <c r="M53" s="165">
        <f>'ADB Inc. Statement'!M53+'ANT Inc Statement'!M53+'ACC Inc Statement'!M53+'PUC Inc. Statement'!M53+'AASPA Inc. Statement'!M53+'AFSC Inc. Statement'!M53+'PSPF Inc. Statement'!M53+'ATB Inc. Statement'!M53+'ASSB Inc. Statement'!M53</f>
        <v>193560.71</v>
      </c>
      <c r="N53" s="193">
        <f t="shared" si="37"/>
        <v>-20808.040000000008</v>
      </c>
      <c r="O53" s="196">
        <f t="shared" si="29"/>
        <v>-9.7066573369486028E-2</v>
      </c>
      <c r="P53" s="230"/>
      <c r="Q53" s="165">
        <f>'ADB Inc. Statement'!Q53+'ANT Inc Statement'!Q53+'ACC Inc Statement'!Q53+'PUC Inc. Statement'!Q53+'AASPA Inc. Statement'!Q53+'AFSC Inc. Statement'!Q53+'PSPF Inc. Statement'!Q53+'ATB Inc. Statement'!Q53+'ASSB Inc. Statement'!Q53</f>
        <v>154368.75</v>
      </c>
      <c r="R53" s="165">
        <f>'ADB Inc. Statement'!R53+'ANT Inc Statement'!R53+'ACC Inc Statement'!R53+'PUC Inc. Statement'!R53+'AASPA Inc. Statement'!R53+'AFSC Inc. Statement'!R53+'PSPF Inc. Statement'!R53+'ATB Inc. Statement'!R53+'ASSB Inc. Statement'!R53</f>
        <v>141218.25</v>
      </c>
      <c r="S53" s="193">
        <f t="shared" si="38"/>
        <v>-13150.5</v>
      </c>
      <c r="T53" s="1212">
        <f t="shared" si="30"/>
        <v>-8.5188874043483548E-2</v>
      </c>
      <c r="U53" s="785"/>
      <c r="V53" s="198">
        <f>B53+G53+L53+Q53</f>
        <v>797475</v>
      </c>
      <c r="W53" s="193">
        <f>C53+H53+M53+R53</f>
        <v>679986.03</v>
      </c>
      <c r="X53" s="193">
        <f t="shared" si="39"/>
        <v>-117488.96999999997</v>
      </c>
      <c r="Y53" s="196">
        <f t="shared" si="32"/>
        <v>-0.14732621085300476</v>
      </c>
      <c r="Z53" s="231"/>
      <c r="AA53" s="168">
        <f>'ADB Inc. Statement'!AA53+'ANT Inc Statement'!AA53+'ACC Inc Statement'!AA53+'PUC Inc. Statement'!AA53+'AASPA Inc. Statement'!AA53+'AFSC Inc. Statement'!AA53+'PSPF Inc. Statement'!AA53+'ATB Inc. Statement'!AA53+'ASSB Inc. Statement'!AA53</f>
        <v>1047799.04</v>
      </c>
      <c r="AB53" s="193">
        <f t="shared" si="33"/>
        <v>367813.01</v>
      </c>
      <c r="AC53" s="196">
        <f t="shared" si="34"/>
        <v>0.35103392536034389</v>
      </c>
      <c r="AD53" s="230"/>
      <c r="AE53" s="1179"/>
    </row>
    <row r="54" spans="1:31" x14ac:dyDescent="0.3">
      <c r="A54" s="170" t="s">
        <v>125</v>
      </c>
      <c r="B54" s="168">
        <f>'ADB Inc. Statement'!B54+'ATB Inc. Statement'!B54+'AASPA Inc. Statement'!B54+'ACC Inc Statement'!B54+'ANT Inc Statement'!B54+'PSPF Inc. Statement'!B54+'AFSC Inc. Statement'!B54+'PUC Inc. Statement'!B54+'ASSB Inc. Statement'!B54</f>
        <v>0</v>
      </c>
      <c r="C54" s="165">
        <f>'ADB Inc. Statement'!C54+'ANT Inc Statement'!C54+'ACC Inc Statement'!C54+'PUC Inc. Statement'!C54+'AASPA Inc. Statement'!C54+'AFSC Inc. Statement'!C54+'PSPF Inc. Statement'!C54+'ATB Inc. Statement'!C54+'ASSB Inc. Statement'!C54</f>
        <v>0</v>
      </c>
      <c r="D54" s="193">
        <f t="shared" si="35"/>
        <v>0</v>
      </c>
      <c r="E54" s="194" t="str">
        <f t="shared" si="27"/>
        <v>-</v>
      </c>
      <c r="F54" s="230"/>
      <c r="G54" s="168">
        <f>'ADB Inc. Statement'!G54+'ANT Inc Statement'!G54+'ACC Inc Statement'!G54+'PUC Inc. Statement'!G54+'AASPA Inc. Statement'!G54+'AFSC Inc. Statement'!G54+'PSPF Inc. Statement'!G54+'ATB Inc. Statement'!G54+'ASSB Inc. Statement'!G54</f>
        <v>0</v>
      </c>
      <c r="H54" s="165">
        <f>'ADB Inc. Statement'!H54+'ANT Inc Statement'!H54+'ACC Inc Statement'!H54+'PUC Inc. Statement'!H54+'AASPA Inc. Statement'!H54+'AFSC Inc. Statement'!H54+'PSPF Inc. Statement'!H54+'ATB Inc. Statement'!H54+'ASSB Inc. Statement'!H54</f>
        <v>0</v>
      </c>
      <c r="I54" s="193">
        <f t="shared" si="36"/>
        <v>0</v>
      </c>
      <c r="J54" s="195" t="str">
        <f t="shared" si="28"/>
        <v>-</v>
      </c>
      <c r="K54" s="230"/>
      <c r="L54" s="165">
        <f>'ADB Inc. Statement'!L54+'ANT Inc Statement'!L54+'ACC Inc Statement'!L54+'PUC Inc. Statement'!L54+'AASPA Inc. Statement'!L54+'AFSC Inc. Statement'!L54+'PSPF Inc. Statement'!L54+'ATB Inc. Statement'!L54+'ASSB Inc. Statement'!L54</f>
        <v>0</v>
      </c>
      <c r="M54" s="165">
        <f>'ADB Inc. Statement'!M54+'ANT Inc Statement'!M54+'ACC Inc Statement'!M54+'PUC Inc. Statement'!M54+'AASPA Inc. Statement'!M54+'AFSC Inc. Statement'!M54+'PSPF Inc. Statement'!M54+'ATB Inc. Statement'!M54+'ASSB Inc. Statement'!M54</f>
        <v>0</v>
      </c>
      <c r="N54" s="193">
        <f t="shared" si="37"/>
        <v>0</v>
      </c>
      <c r="O54" s="196" t="str">
        <f t="shared" si="29"/>
        <v>-</v>
      </c>
      <c r="P54" s="230"/>
      <c r="Q54" s="165">
        <f>'ADB Inc. Statement'!Q54+'ANT Inc Statement'!Q54+'ACC Inc Statement'!Q54+'PUC Inc. Statement'!Q54+'AASPA Inc. Statement'!Q54+'AFSC Inc. Statement'!Q54+'PSPF Inc. Statement'!Q54+'ATB Inc. Statement'!Q54+'ASSB Inc. Statement'!Q54</f>
        <v>0</v>
      </c>
      <c r="R54" s="165">
        <f>'ADB Inc. Statement'!R54+'ANT Inc Statement'!R54+'ACC Inc Statement'!R54+'PUC Inc. Statement'!R54+'AASPA Inc. Statement'!R54+'AFSC Inc. Statement'!R54+'PSPF Inc. Statement'!R54+'ATB Inc. Statement'!R54+'ASSB Inc. Statement'!R54</f>
        <v>0</v>
      </c>
      <c r="S54" s="193">
        <f t="shared" si="38"/>
        <v>0</v>
      </c>
      <c r="T54" s="1212" t="str">
        <f t="shared" si="30"/>
        <v>-</v>
      </c>
      <c r="U54" s="785"/>
      <c r="V54" s="198"/>
      <c r="W54" s="193"/>
      <c r="X54" s="193">
        <f t="shared" si="39"/>
        <v>0</v>
      </c>
      <c r="Y54" s="196" t="str">
        <f t="shared" si="32"/>
        <v>-</v>
      </c>
      <c r="Z54" s="231"/>
      <c r="AA54" s="168">
        <f>'ADB Inc. Statement'!AA54+'ANT Inc Statement'!AA54+'ACC Inc Statement'!AA54+'PUC Inc. Statement'!AA54+'AASPA Inc. Statement'!AA54+'AFSC Inc. Statement'!AA54+'PSPF Inc. Statement'!AA54+'ATB Inc. Statement'!AA54+'ASSB Inc. Statement'!AA54</f>
        <v>0</v>
      </c>
      <c r="AB54" s="193">
        <f t="shared" si="33"/>
        <v>0</v>
      </c>
      <c r="AC54" s="196" t="str">
        <f t="shared" si="34"/>
        <v>-</v>
      </c>
      <c r="AD54" s="230"/>
      <c r="AE54" s="1179"/>
    </row>
    <row r="55" spans="1:31" x14ac:dyDescent="0.3">
      <c r="A55" s="170" t="s">
        <v>90</v>
      </c>
      <c r="B55" s="168">
        <f>'ADB Inc. Statement'!B55+'ATB Inc. Statement'!B55+'AASPA Inc. Statement'!B55+'ACC Inc Statement'!B55+'ANT Inc Statement'!B55+'PSPF Inc. Statement'!B55+'AFSC Inc. Statement'!B55+'PUC Inc. Statement'!B55+'ASSB Inc. Statement'!B55</f>
        <v>5500</v>
      </c>
      <c r="C55" s="165">
        <f>'ADB Inc. Statement'!C55+'ANT Inc Statement'!C55+'ACC Inc Statement'!C55+'PUC Inc. Statement'!C55+'AASPA Inc. Statement'!C55+'AFSC Inc. Statement'!C55+'PSPF Inc. Statement'!C55+'ATB Inc. Statement'!C55+'ASSB Inc. Statement'!C55</f>
        <v>20857.189999999999</v>
      </c>
      <c r="D55" s="193">
        <f t="shared" si="35"/>
        <v>15357.189999999999</v>
      </c>
      <c r="E55" s="194">
        <f t="shared" si="27"/>
        <v>2.7922163636363635</v>
      </c>
      <c r="F55" s="230"/>
      <c r="G55" s="168">
        <f>'ADB Inc. Statement'!G55+'ANT Inc Statement'!G55+'ACC Inc Statement'!G55+'PUC Inc. Statement'!G55+'AASPA Inc. Statement'!G55+'AFSC Inc. Statement'!G55+'PSPF Inc. Statement'!G55+'ATB Inc. Statement'!G55+'ASSB Inc. Statement'!G55</f>
        <v>5500</v>
      </c>
      <c r="H55" s="165">
        <f>'ADB Inc. Statement'!H55+'ANT Inc Statement'!H55+'ACC Inc Statement'!H55+'PUC Inc. Statement'!H55+'AASPA Inc. Statement'!H55+'AFSC Inc. Statement'!H55+'PSPF Inc. Statement'!H55+'ATB Inc. Statement'!H55+'ASSB Inc. Statement'!H55</f>
        <v>0</v>
      </c>
      <c r="I55" s="193">
        <f t="shared" si="36"/>
        <v>-5500</v>
      </c>
      <c r="J55" s="195">
        <f t="shared" si="28"/>
        <v>-1</v>
      </c>
      <c r="K55" s="230"/>
      <c r="L55" s="165">
        <f>'ADB Inc. Statement'!L55+'ANT Inc Statement'!L55+'ACC Inc Statement'!L55+'PUC Inc. Statement'!L55+'AASPA Inc. Statement'!L55+'AFSC Inc. Statement'!L55+'PSPF Inc. Statement'!L55+'ATB Inc. Statement'!L55+'ASSB Inc. Statement'!L55</f>
        <v>5500</v>
      </c>
      <c r="M55" s="165">
        <f>'ADB Inc. Statement'!M55+'ANT Inc Statement'!M55+'ACC Inc Statement'!M55+'PUC Inc. Statement'!M55+'AASPA Inc. Statement'!M55+'AFSC Inc. Statement'!M55+'PSPF Inc. Statement'!M55+'ATB Inc. Statement'!M55+'ASSB Inc. Statement'!M55</f>
        <v>0</v>
      </c>
      <c r="N55" s="193">
        <f t="shared" si="37"/>
        <v>-5500</v>
      </c>
      <c r="O55" s="196">
        <f t="shared" si="29"/>
        <v>-1</v>
      </c>
      <c r="P55" s="230"/>
      <c r="Q55" s="165">
        <f>'ADB Inc. Statement'!Q55+'ANT Inc Statement'!Q55+'ACC Inc Statement'!Q55+'PUC Inc. Statement'!Q55+'AASPA Inc. Statement'!Q55+'AFSC Inc. Statement'!Q55+'PSPF Inc. Statement'!Q55+'ATB Inc. Statement'!Q55+'ASSB Inc. Statement'!Q55</f>
        <v>0</v>
      </c>
      <c r="R55" s="165">
        <f>'ADB Inc. Statement'!R55+'ANT Inc Statement'!R55+'ACC Inc Statement'!R55+'PUC Inc. Statement'!R55+'AASPA Inc. Statement'!R55+'AFSC Inc. Statement'!R55+'PSPF Inc. Statement'!R55+'ATB Inc. Statement'!R55+'ASSB Inc. Statement'!R55</f>
        <v>1</v>
      </c>
      <c r="S55" s="193">
        <f t="shared" si="38"/>
        <v>1</v>
      </c>
      <c r="T55" s="1212" t="str">
        <f t="shared" si="30"/>
        <v>-</v>
      </c>
      <c r="U55" s="785"/>
      <c r="V55" s="198">
        <f t="shared" ref="V55:V75" si="40">B55+G55+L55+Q55</f>
        <v>16500</v>
      </c>
      <c r="W55" s="193">
        <f t="shared" ref="W55:W75" si="41">C55+H55+M55+R55</f>
        <v>20858.189999999999</v>
      </c>
      <c r="X55" s="193">
        <f t="shared" si="39"/>
        <v>4358.1899999999987</v>
      </c>
      <c r="Y55" s="196">
        <f t="shared" si="32"/>
        <v>0.26413272727272719</v>
      </c>
      <c r="Z55" s="231"/>
      <c r="AA55" s="168">
        <f>'ADB Inc. Statement'!AA55+'ANT Inc Statement'!AA55+'ACC Inc Statement'!AA55+'PUC Inc. Statement'!AA55+'AASPA Inc. Statement'!AA55+'AFSC Inc. Statement'!AA55+'PSPF Inc. Statement'!AA55+'ATB Inc. Statement'!AA55+'ASSB Inc. Statement'!AA55</f>
        <v>742000</v>
      </c>
      <c r="AB55" s="193">
        <f t="shared" si="33"/>
        <v>721141.81</v>
      </c>
      <c r="AC55" s="196">
        <f t="shared" si="34"/>
        <v>0.97188923180593001</v>
      </c>
      <c r="AD55" s="230"/>
      <c r="AE55" s="1179"/>
    </row>
    <row r="56" spans="1:31" x14ac:dyDescent="0.3">
      <c r="A56" s="170" t="s">
        <v>91</v>
      </c>
      <c r="B56" s="168">
        <f>'ADB Inc. Statement'!B56+'ATB Inc. Statement'!B56+'AASPA Inc. Statement'!B56+'ACC Inc Statement'!B56+'ANT Inc Statement'!B56+'PSPF Inc. Statement'!B56+'AFSC Inc. Statement'!B56+'PUC Inc. Statement'!B56+'ASSB Inc. Statement'!B56</f>
        <v>81508.013000000006</v>
      </c>
      <c r="C56" s="165">
        <f>'ADB Inc. Statement'!C56+'ANT Inc Statement'!C56+'ACC Inc Statement'!C56+'PUC Inc. Statement'!C56+'AASPA Inc. Statement'!C56+'AFSC Inc. Statement'!C56+'PSPF Inc. Statement'!C56+'ATB Inc. Statement'!C56+'ASSB Inc. Statement'!C56</f>
        <v>95272.34102800001</v>
      </c>
      <c r="D56" s="193">
        <f t="shared" si="35"/>
        <v>13764.328028000004</v>
      </c>
      <c r="E56" s="194">
        <f t="shared" si="27"/>
        <v>0.16887085724933576</v>
      </c>
      <c r="F56" s="230"/>
      <c r="G56" s="168">
        <f>'ADB Inc. Statement'!G56+'ANT Inc Statement'!G56+'ACC Inc Statement'!G56+'PUC Inc. Statement'!G56+'AASPA Inc. Statement'!G56+'AFSC Inc. Statement'!G56+'PSPF Inc. Statement'!G56+'ATB Inc. Statement'!G56+'ASSB Inc. Statement'!G56</f>
        <v>96483.49</v>
      </c>
      <c r="H56" s="165">
        <f>'ADB Inc. Statement'!H56+'ANT Inc Statement'!H56+'ACC Inc Statement'!H56+'PUC Inc. Statement'!H56+'AASPA Inc. Statement'!H56+'AFSC Inc. Statement'!H56+'PSPF Inc. Statement'!H56+'ATB Inc. Statement'!H56+'ASSB Inc. Statement'!H56</f>
        <v>88151.443002</v>
      </c>
      <c r="I56" s="193">
        <f t="shared" si="36"/>
        <v>-8332.0469980000053</v>
      </c>
      <c r="J56" s="195">
        <f t="shared" si="28"/>
        <v>-8.6357230630857207E-2</v>
      </c>
      <c r="K56" s="230"/>
      <c r="L56" s="165">
        <f>'ADB Inc. Statement'!L56+'ANT Inc Statement'!L56+'ACC Inc Statement'!L56+'PUC Inc. Statement'!L56+'AASPA Inc. Statement'!L56+'AFSC Inc. Statement'!L56+'PSPF Inc. Statement'!L56+'ATB Inc. Statement'!L56+'ASSB Inc. Statement'!L56</f>
        <v>55170.630000000005</v>
      </c>
      <c r="M56" s="165">
        <f>'ADB Inc. Statement'!M56+'ANT Inc Statement'!M56+'ACC Inc Statement'!M56+'PUC Inc. Statement'!M56+'AASPA Inc. Statement'!M56+'AFSC Inc. Statement'!M56+'PSPF Inc. Statement'!M56+'ATB Inc. Statement'!M56+'ASSB Inc. Statement'!M56</f>
        <v>39876.874208000008</v>
      </c>
      <c r="N56" s="193">
        <f t="shared" si="37"/>
        <v>-15293.755791999996</v>
      </c>
      <c r="O56" s="196">
        <f t="shared" si="29"/>
        <v>-0.27720828622040378</v>
      </c>
      <c r="P56" s="230"/>
      <c r="Q56" s="165">
        <f>'ADB Inc. Statement'!Q56+'ANT Inc Statement'!Q56+'ACC Inc Statement'!Q56+'PUC Inc. Statement'!Q56+'AASPA Inc. Statement'!Q56+'AFSC Inc. Statement'!Q56+'PSPF Inc. Statement'!Q56+'ATB Inc. Statement'!Q56+'ASSB Inc. Statement'!Q56</f>
        <v>69361.97</v>
      </c>
      <c r="R56" s="165">
        <f>'ADB Inc. Statement'!R56+'ANT Inc Statement'!R56+'ACC Inc Statement'!R56+'PUC Inc. Statement'!R56+'AASPA Inc. Statement'!R56+'AFSC Inc. Statement'!R56+'PSPF Inc. Statement'!R56+'ATB Inc. Statement'!R56+'ASSB Inc. Statement'!R56</f>
        <v>145487.63605599999</v>
      </c>
      <c r="S56" s="193">
        <f t="shared" si="38"/>
        <v>76125.666055999987</v>
      </c>
      <c r="T56" s="1212">
        <f t="shared" si="30"/>
        <v>1.0975130328045755</v>
      </c>
      <c r="U56" s="785"/>
      <c r="V56" s="198">
        <f t="shared" si="40"/>
        <v>302524.103</v>
      </c>
      <c r="W56" s="193">
        <f t="shared" si="41"/>
        <v>368788.29429400002</v>
      </c>
      <c r="X56" s="193">
        <f t="shared" si="39"/>
        <v>66264.191294000018</v>
      </c>
      <c r="Y56" s="196">
        <f t="shared" si="32"/>
        <v>0.21903772505029134</v>
      </c>
      <c r="Z56" s="231"/>
      <c r="AA56" s="168">
        <f>'ADB Inc. Statement'!AA56+'ANT Inc Statement'!AA56+'ACC Inc Statement'!AA56+'PUC Inc. Statement'!AA56+'AASPA Inc. Statement'!AA56+'AFSC Inc. Statement'!AA56+'PSPF Inc. Statement'!AA56+'ATB Inc. Statement'!AA56+'ASSB Inc. Statement'!AA56</f>
        <v>331088.95299999998</v>
      </c>
      <c r="AB56" s="193">
        <f t="shared" si="33"/>
        <v>-37699.341294000042</v>
      </c>
      <c r="AC56" s="196">
        <f t="shared" si="34"/>
        <v>-0.11386469090075634</v>
      </c>
      <c r="AD56" s="230"/>
      <c r="AE56" s="1178"/>
    </row>
    <row r="57" spans="1:31" x14ac:dyDescent="0.3">
      <c r="A57" s="170" t="s">
        <v>92</v>
      </c>
      <c r="B57" s="168">
        <f>'ADB Inc. Statement'!B57+'ATB Inc. Statement'!B57+'AASPA Inc. Statement'!B57+'ACC Inc Statement'!B57+'ANT Inc Statement'!B57+'PSPF Inc. Statement'!B57+'AFSC Inc. Statement'!B57+'PUC Inc. Statement'!B57+'ASSB Inc. Statement'!B57</f>
        <v>332653.17</v>
      </c>
      <c r="C57" s="165">
        <f>'ADB Inc. Statement'!C57+'ANT Inc Statement'!C57+'ACC Inc Statement'!C57+'PUC Inc. Statement'!C57+'AASPA Inc. Statement'!C57+'AFSC Inc. Statement'!C57+'PSPF Inc. Statement'!C57+'ATB Inc. Statement'!C57+'ASSB Inc. Statement'!C57</f>
        <v>139234.85193599999</v>
      </c>
      <c r="D57" s="193">
        <f t="shared" si="35"/>
        <v>-193418.31806399999</v>
      </c>
      <c r="E57" s="194">
        <f t="shared" si="27"/>
        <v>-0.58144137951248143</v>
      </c>
      <c r="F57" s="230"/>
      <c r="G57" s="168">
        <f>'ADB Inc. Statement'!G57+'ANT Inc Statement'!G57+'ACC Inc Statement'!G57+'PUC Inc. Statement'!G57+'AASPA Inc. Statement'!G57+'AFSC Inc. Statement'!G57+'PSPF Inc. Statement'!G57+'ATB Inc. Statement'!G57+'ASSB Inc. Statement'!G57</f>
        <v>276700.29000000004</v>
      </c>
      <c r="H57" s="165">
        <f>'ADB Inc. Statement'!H57+'ANT Inc Statement'!H57+'ACC Inc Statement'!H57+'PUC Inc. Statement'!H57+'AASPA Inc. Statement'!H57+'AFSC Inc. Statement'!H57+'PSPF Inc. Statement'!H57+'ATB Inc. Statement'!H57+'ASSB Inc. Statement'!H57</f>
        <v>147810.387132</v>
      </c>
      <c r="I57" s="193">
        <f t="shared" si="36"/>
        <v>-128889.90286800003</v>
      </c>
      <c r="J57" s="195">
        <f t="shared" si="28"/>
        <v>-0.46581050879274472</v>
      </c>
      <c r="K57" s="230"/>
      <c r="L57" s="165">
        <f>'ADB Inc. Statement'!L57+'ANT Inc Statement'!L57+'ACC Inc Statement'!L57+'PUC Inc. Statement'!L57+'AASPA Inc. Statement'!L57+'AFSC Inc. Statement'!L57+'PSPF Inc. Statement'!L57+'ATB Inc. Statement'!L57+'ASSB Inc. Statement'!L57</f>
        <v>438936.49400000006</v>
      </c>
      <c r="M57" s="165">
        <f>'ADB Inc. Statement'!M57+'ANT Inc Statement'!M57+'ACC Inc Statement'!M57+'PUC Inc. Statement'!M57+'AASPA Inc. Statement'!M57+'AFSC Inc. Statement'!M57+'PSPF Inc. Statement'!M57+'ATB Inc. Statement'!M57+'ASSB Inc. Statement'!M57</f>
        <v>257199.85500000004</v>
      </c>
      <c r="N57" s="193">
        <f t="shared" si="37"/>
        <v>-181736.63900000002</v>
      </c>
      <c r="O57" s="196">
        <f t="shared" si="29"/>
        <v>-0.4140385716025699</v>
      </c>
      <c r="P57" s="230"/>
      <c r="Q57" s="165">
        <f>'ADB Inc. Statement'!Q57+'ANT Inc Statement'!Q57+'ACC Inc Statement'!Q57+'PUC Inc. Statement'!Q57+'AASPA Inc. Statement'!Q57+'AFSC Inc. Statement'!Q57+'PSPF Inc. Statement'!Q57+'ATB Inc. Statement'!Q57+'ASSB Inc. Statement'!Q57</f>
        <v>258253.65000000002</v>
      </c>
      <c r="R57" s="165">
        <f>'ADB Inc. Statement'!R57+'ANT Inc Statement'!R57+'ACC Inc Statement'!R57+'PUC Inc. Statement'!R57+'AASPA Inc. Statement'!R57+'AFSC Inc. Statement'!R57+'PSPF Inc. Statement'!R57+'ATB Inc. Statement'!R57+'ASSB Inc. Statement'!R57</f>
        <v>129765.14276999998</v>
      </c>
      <c r="S57" s="193">
        <f t="shared" si="38"/>
        <v>-128488.50723000005</v>
      </c>
      <c r="T57" s="1212">
        <f t="shared" si="30"/>
        <v>-0.49752833011266262</v>
      </c>
      <c r="U57" s="785"/>
      <c r="V57" s="198">
        <f t="shared" si="40"/>
        <v>1306543.6040000001</v>
      </c>
      <c r="W57" s="193">
        <f t="shared" si="41"/>
        <v>674010.23683800013</v>
      </c>
      <c r="X57" s="193">
        <f t="shared" si="39"/>
        <v>-632533.36716199992</v>
      </c>
      <c r="Y57" s="196">
        <f t="shared" si="32"/>
        <v>-0.48412725394352768</v>
      </c>
      <c r="Z57" s="231"/>
      <c r="AA57" s="168">
        <f>'ADB Inc. Statement'!AA57+'ANT Inc Statement'!AA57+'ACC Inc Statement'!AA57+'PUC Inc. Statement'!AA57+'AASPA Inc. Statement'!AA57+'AFSC Inc. Statement'!AA57+'PSPF Inc. Statement'!AA57+'ATB Inc. Statement'!AA57+'ASSB Inc. Statement'!AA57</f>
        <v>1331455.7439999999</v>
      </c>
      <c r="AB57" s="193">
        <f t="shared" si="33"/>
        <v>657445.50716199982</v>
      </c>
      <c r="AC57" s="196">
        <f t="shared" si="34"/>
        <v>0.49377946666622352</v>
      </c>
      <c r="AD57" s="230"/>
      <c r="AE57" s="1178"/>
    </row>
    <row r="58" spans="1:31" x14ac:dyDescent="0.3">
      <c r="A58" s="170" t="s">
        <v>93</v>
      </c>
      <c r="B58" s="168">
        <f>'ADB Inc. Statement'!B58+'ATB Inc. Statement'!B58+'AASPA Inc. Statement'!B58+'ACC Inc Statement'!B58+'ANT Inc Statement'!B58+'PSPF Inc. Statement'!B58+'AFSC Inc. Statement'!B58+'PUC Inc. Statement'!B58+'ASSB Inc. Statement'!B58</f>
        <v>237993.591056</v>
      </c>
      <c r="C58" s="165">
        <f>'ADB Inc. Statement'!C58+'ANT Inc Statement'!C58+'ACC Inc Statement'!C58+'PUC Inc. Statement'!C58+'AASPA Inc. Statement'!C58+'AFSC Inc. Statement'!C58+'PSPF Inc. Statement'!C58+'ATB Inc. Statement'!C58+'ASSB Inc. Statement'!C58</f>
        <v>173745.953232</v>
      </c>
      <c r="D58" s="193">
        <f t="shared" si="35"/>
        <v>-64247.637824000005</v>
      </c>
      <c r="E58" s="194">
        <f t="shared" si="27"/>
        <v>-0.26995532753183471</v>
      </c>
      <c r="F58" s="230"/>
      <c r="G58" s="168">
        <f>'ADB Inc. Statement'!G58+'ANT Inc Statement'!G58+'ACC Inc Statement'!G58+'PUC Inc. Statement'!G58+'AASPA Inc. Statement'!G58+'AFSC Inc. Statement'!G58+'PSPF Inc. Statement'!G58+'ATB Inc. Statement'!G58+'ASSB Inc. Statement'!G58</f>
        <v>282276.99745799997</v>
      </c>
      <c r="H58" s="165">
        <f>'ADB Inc. Statement'!H58+'ANT Inc Statement'!H58+'ACC Inc Statement'!H58+'PUC Inc. Statement'!H58+'AASPA Inc. Statement'!H58+'AFSC Inc. Statement'!H58+'PSPF Inc. Statement'!H58+'ATB Inc. Statement'!H58+'ASSB Inc. Statement'!H58</f>
        <v>322285.72000999993</v>
      </c>
      <c r="I58" s="193">
        <f t="shared" si="36"/>
        <v>40008.722551999963</v>
      </c>
      <c r="J58" s="195">
        <f t="shared" si="28"/>
        <v>0.14173568130698594</v>
      </c>
      <c r="K58" s="230"/>
      <c r="L58" s="165">
        <f>'ADB Inc. Statement'!L58+'ANT Inc Statement'!L58+'ACC Inc Statement'!L58+'PUC Inc. Statement'!L58+'AASPA Inc. Statement'!L58+'AFSC Inc. Statement'!L58+'PSPF Inc. Statement'!L58+'ATB Inc. Statement'!L58+'ASSB Inc. Statement'!L58</f>
        <v>216004.08419999998</v>
      </c>
      <c r="M58" s="165">
        <f>'ADB Inc. Statement'!M58+'ANT Inc Statement'!M58+'ACC Inc Statement'!M58+'PUC Inc. Statement'!M58+'AASPA Inc. Statement'!M58+'AFSC Inc. Statement'!M58+'PSPF Inc. Statement'!M58+'ATB Inc. Statement'!M58+'ASSB Inc. Statement'!M58</f>
        <v>189063.16999999998</v>
      </c>
      <c r="N58" s="193">
        <f t="shared" si="37"/>
        <v>-26940.914199999999</v>
      </c>
      <c r="O58" s="196">
        <f t="shared" si="29"/>
        <v>-0.12472409630484201</v>
      </c>
      <c r="P58" s="230"/>
      <c r="Q58" s="165">
        <f>'ADB Inc. Statement'!Q58+'ANT Inc Statement'!Q58+'ACC Inc Statement'!Q58+'PUC Inc. Statement'!Q58+'AASPA Inc. Statement'!Q58+'AFSC Inc. Statement'!Q58+'PSPF Inc. Statement'!Q58+'ATB Inc. Statement'!Q58+'ASSB Inc. Statement'!Q58</f>
        <v>491345.42954000004</v>
      </c>
      <c r="R58" s="165">
        <f>'ADB Inc. Statement'!R58+'ANT Inc Statement'!R58+'ACC Inc Statement'!R58+'PUC Inc. Statement'!R58+'AASPA Inc. Statement'!R58+'AFSC Inc. Statement'!R58+'PSPF Inc. Statement'!R58+'ATB Inc. Statement'!R58+'ASSB Inc. Statement'!R58</f>
        <v>324596.50000400003</v>
      </c>
      <c r="S58" s="193">
        <f t="shared" si="38"/>
        <v>-166748.92953600001</v>
      </c>
      <c r="T58" s="1212">
        <f t="shared" si="30"/>
        <v>-0.33937209855012013</v>
      </c>
      <c r="U58" s="785"/>
      <c r="V58" s="198">
        <f t="shared" si="40"/>
        <v>1227620.102254</v>
      </c>
      <c r="W58" s="193">
        <f t="shared" si="41"/>
        <v>1009691.3432459999</v>
      </c>
      <c r="X58" s="193">
        <f t="shared" si="39"/>
        <v>-217928.75900800014</v>
      </c>
      <c r="Y58" s="196">
        <f t="shared" si="32"/>
        <v>-0.1775213346603457</v>
      </c>
      <c r="Z58" s="231"/>
      <c r="AA58" s="168">
        <f>'ADB Inc. Statement'!AA58+'ANT Inc Statement'!AA58+'ACC Inc Statement'!AA58+'PUC Inc. Statement'!AA58+'AASPA Inc. Statement'!AA58+'AFSC Inc. Statement'!AA58+'PSPF Inc. Statement'!AA58+'ATB Inc. Statement'!AA58+'ASSB Inc. Statement'!AA58</f>
        <v>1213660.3996540001</v>
      </c>
      <c r="AB58" s="193">
        <f t="shared" si="33"/>
        <v>203969.05640800018</v>
      </c>
      <c r="AC58" s="196">
        <f t="shared" si="34"/>
        <v>0.1680610626054449</v>
      </c>
      <c r="AD58" s="230"/>
      <c r="AE58" s="1179"/>
    </row>
    <row r="59" spans="1:31" x14ac:dyDescent="0.3">
      <c r="A59" s="170" t="s">
        <v>94</v>
      </c>
      <c r="B59" s="168">
        <f>'ADB Inc. Statement'!B59+'ATB Inc. Statement'!B59+'AASPA Inc. Statement'!B59+'ACC Inc Statement'!B59+'ANT Inc Statement'!B59+'PSPF Inc. Statement'!B59+'AFSC Inc. Statement'!B59+'PUC Inc. Statement'!B59+'ASSB Inc. Statement'!B59</f>
        <v>7075</v>
      </c>
      <c r="C59" s="165">
        <f>'ADB Inc. Statement'!C59+'ANT Inc Statement'!C59+'ACC Inc Statement'!C59+'PUC Inc. Statement'!C59+'AASPA Inc. Statement'!C59+'AFSC Inc. Statement'!C59+'PSPF Inc. Statement'!C59+'ATB Inc. Statement'!C59+'ASSB Inc. Statement'!C59</f>
        <v>5943.2800000000007</v>
      </c>
      <c r="D59" s="193">
        <f t="shared" si="35"/>
        <v>-1131.7199999999993</v>
      </c>
      <c r="E59" s="194">
        <f t="shared" si="27"/>
        <v>-0.15996042402826846</v>
      </c>
      <c r="F59" s="230"/>
      <c r="G59" s="168">
        <f>'ADB Inc. Statement'!G59+'ANT Inc Statement'!G59+'ACC Inc Statement'!G59+'PUC Inc. Statement'!G59+'AASPA Inc. Statement'!G59+'AFSC Inc. Statement'!G59+'PSPF Inc. Statement'!G59+'ATB Inc. Statement'!G59+'ASSB Inc. Statement'!G59</f>
        <v>7075</v>
      </c>
      <c r="H59" s="165">
        <f>'ADB Inc. Statement'!H59+'ANT Inc Statement'!H59+'ACC Inc Statement'!H59+'PUC Inc. Statement'!H59+'AASPA Inc. Statement'!H59+'AFSC Inc. Statement'!H59+'PSPF Inc. Statement'!H59+'ATB Inc. Statement'!H59+'ASSB Inc. Statement'!H59</f>
        <v>5538.86</v>
      </c>
      <c r="I59" s="193">
        <f t="shared" si="36"/>
        <v>-1536.1400000000003</v>
      </c>
      <c r="J59" s="195">
        <f t="shared" si="28"/>
        <v>-0.21712226148409899</v>
      </c>
      <c r="K59" s="230"/>
      <c r="L59" s="165">
        <f>'ADB Inc. Statement'!L59+'ANT Inc Statement'!L59+'ACC Inc Statement'!L59+'PUC Inc. Statement'!L59+'AASPA Inc. Statement'!L59+'AFSC Inc. Statement'!L59+'PSPF Inc. Statement'!L59+'ATB Inc. Statement'!L59+'ASSB Inc. Statement'!L59</f>
        <v>7075</v>
      </c>
      <c r="M59" s="165">
        <f>'ADB Inc. Statement'!M59+'ANT Inc Statement'!M59+'ACC Inc Statement'!M59+'PUC Inc. Statement'!M59+'AASPA Inc. Statement'!M59+'AFSC Inc. Statement'!M59+'PSPF Inc. Statement'!M59+'ATB Inc. Statement'!M59+'ASSB Inc. Statement'!M59</f>
        <v>8079.1100000000006</v>
      </c>
      <c r="N59" s="193">
        <f t="shared" si="37"/>
        <v>1004.1100000000006</v>
      </c>
      <c r="O59" s="196">
        <f t="shared" si="29"/>
        <v>0.14192367491166086</v>
      </c>
      <c r="P59" s="230"/>
      <c r="Q59" s="165">
        <f>'ADB Inc. Statement'!Q59+'ANT Inc Statement'!Q59+'ACC Inc Statement'!Q59+'PUC Inc. Statement'!Q59+'AASPA Inc. Statement'!Q59+'AFSC Inc. Statement'!Q59+'PSPF Inc. Statement'!Q59+'ATB Inc. Statement'!Q59+'ASSB Inc. Statement'!Q59</f>
        <v>7075</v>
      </c>
      <c r="R59" s="165">
        <f>'ADB Inc. Statement'!R59+'ANT Inc Statement'!R59+'ACC Inc Statement'!R59+'PUC Inc. Statement'!R59+'AASPA Inc. Statement'!R59+'AFSC Inc. Statement'!R59+'PSPF Inc. Statement'!R59+'ATB Inc. Statement'!R59+'ASSB Inc. Statement'!R59</f>
        <v>6108.23</v>
      </c>
      <c r="S59" s="193">
        <f t="shared" si="38"/>
        <v>-966.77000000000044</v>
      </c>
      <c r="T59" s="1212">
        <f t="shared" si="30"/>
        <v>-0.13664593639575978</v>
      </c>
      <c r="U59" s="785"/>
      <c r="V59" s="198">
        <f t="shared" si="40"/>
        <v>28300</v>
      </c>
      <c r="W59" s="193">
        <f t="shared" si="41"/>
        <v>25669.48</v>
      </c>
      <c r="X59" s="193">
        <f t="shared" si="39"/>
        <v>-2630.5200000000004</v>
      </c>
      <c r="Y59" s="196">
        <f t="shared" si="32"/>
        <v>-9.2951236749116622E-2</v>
      </c>
      <c r="Z59" s="231"/>
      <c r="AA59" s="168">
        <f>'ADB Inc. Statement'!AA59+'ANT Inc Statement'!AA59+'ACC Inc Statement'!AA59+'PUC Inc. Statement'!AA59+'AASPA Inc. Statement'!AA59+'AFSC Inc. Statement'!AA59+'PSPF Inc. Statement'!AA59+'ATB Inc. Statement'!AA59+'ASSB Inc. Statement'!AA59</f>
        <v>33700</v>
      </c>
      <c r="AB59" s="193">
        <f t="shared" si="33"/>
        <v>8030.52</v>
      </c>
      <c r="AC59" s="196">
        <f t="shared" si="34"/>
        <v>0.23829436201780416</v>
      </c>
      <c r="AD59" s="230"/>
      <c r="AE59" s="1179"/>
    </row>
    <row r="60" spans="1:31" x14ac:dyDescent="0.3">
      <c r="A60" s="170" t="s">
        <v>95</v>
      </c>
      <c r="B60" s="168">
        <f>'ADB Inc. Statement'!B60+'ATB Inc. Statement'!B60+'AASPA Inc. Statement'!B60+'ACC Inc Statement'!B60+'ANT Inc Statement'!B60+'PSPF Inc. Statement'!B60+'AFSC Inc. Statement'!B60+'PUC Inc. Statement'!B60+'ASSB Inc. Statement'!B60</f>
        <v>344633.96499999997</v>
      </c>
      <c r="C60" s="165">
        <f>'ADB Inc. Statement'!C60+'ANT Inc Statement'!C60+'ACC Inc Statement'!C60+'PUC Inc. Statement'!C60+'AASPA Inc. Statement'!C60+'AFSC Inc. Statement'!C60+'PSPF Inc. Statement'!C60+'ATB Inc. Statement'!C60+'ASSB Inc. Statement'!C60</f>
        <v>351627.63699999999</v>
      </c>
      <c r="D60" s="193">
        <f t="shared" si="35"/>
        <v>6993.6720000000205</v>
      </c>
      <c r="E60" s="194">
        <f t="shared" si="27"/>
        <v>2.0293043374294294E-2</v>
      </c>
      <c r="F60" s="171"/>
      <c r="G60" s="168">
        <f>'ADB Inc. Statement'!G60+'ANT Inc Statement'!G60+'ACC Inc Statement'!G60+'PUC Inc. Statement'!G60+'AASPA Inc. Statement'!G60+'AFSC Inc. Statement'!G60+'PSPF Inc. Statement'!G60+'ATB Inc. Statement'!G60+'ASSB Inc. Statement'!G60</f>
        <v>438213.14499999996</v>
      </c>
      <c r="H60" s="165">
        <f>'ADB Inc. Statement'!H60+'ANT Inc Statement'!H60+'ACC Inc Statement'!H60+'PUC Inc. Statement'!H60+'AASPA Inc. Statement'!H60+'AFSC Inc. Statement'!H60+'PSPF Inc. Statement'!H60+'ATB Inc. Statement'!H60+'ASSB Inc. Statement'!H60</f>
        <v>218143.79165200001</v>
      </c>
      <c r="I60" s="193">
        <f t="shared" si="36"/>
        <v>-220069.35334799995</v>
      </c>
      <c r="J60" s="195">
        <f t="shared" si="28"/>
        <v>-0.50219706062902325</v>
      </c>
      <c r="K60" s="171"/>
      <c r="L60" s="165">
        <f>'ADB Inc. Statement'!L60+'ANT Inc Statement'!L60+'ACC Inc Statement'!L60+'PUC Inc. Statement'!L60+'AASPA Inc. Statement'!L60+'AFSC Inc. Statement'!L60+'PSPF Inc. Statement'!L60+'ATB Inc. Statement'!L60+'ASSB Inc. Statement'!L60</f>
        <v>413628.89500000002</v>
      </c>
      <c r="M60" s="165">
        <f>'ADB Inc. Statement'!M60+'ANT Inc Statement'!M60+'ACC Inc Statement'!M60+'PUC Inc. Statement'!M60+'AASPA Inc. Statement'!M60+'AFSC Inc. Statement'!M60+'PSPF Inc. Statement'!M60+'ATB Inc. Statement'!M60+'ASSB Inc. Statement'!M60</f>
        <v>200256.31917799998</v>
      </c>
      <c r="N60" s="193">
        <f t="shared" si="37"/>
        <v>-213372.57582200004</v>
      </c>
      <c r="O60" s="196">
        <f t="shared" si="29"/>
        <v>-0.51585510200393525</v>
      </c>
      <c r="P60" s="171"/>
      <c r="Q60" s="165">
        <f>'ADB Inc. Statement'!Q60+'ANT Inc Statement'!Q60+'ACC Inc Statement'!Q60+'PUC Inc. Statement'!Q60+'AASPA Inc. Statement'!Q60+'AFSC Inc. Statement'!Q60+'PSPF Inc. Statement'!Q60+'ATB Inc. Statement'!Q60+'ASSB Inc. Statement'!Q60</f>
        <v>420904.83500000008</v>
      </c>
      <c r="R60" s="165">
        <f>'ADB Inc. Statement'!R60+'ANT Inc Statement'!R60+'ACC Inc Statement'!R60+'PUC Inc. Statement'!R60+'AASPA Inc. Statement'!R60+'AFSC Inc. Statement'!R60+'PSPF Inc. Statement'!R60+'ATB Inc. Statement'!R60+'ASSB Inc. Statement'!R60</f>
        <v>733977.23699999985</v>
      </c>
      <c r="S60" s="193">
        <f t="shared" si="38"/>
        <v>313072.40199999977</v>
      </c>
      <c r="T60" s="1212">
        <f t="shared" si="30"/>
        <v>0.74380804392517774</v>
      </c>
      <c r="U60" s="783"/>
      <c r="V60" s="198">
        <f t="shared" si="40"/>
        <v>1617380.8399999999</v>
      </c>
      <c r="W60" s="193">
        <f t="shared" si="41"/>
        <v>1504004.98483</v>
      </c>
      <c r="X60" s="193">
        <f t="shared" si="39"/>
        <v>-113375.85516999988</v>
      </c>
      <c r="Y60" s="196">
        <f t="shared" si="32"/>
        <v>-7.0098428499993787E-2</v>
      </c>
      <c r="Z60" s="169"/>
      <c r="AA60" s="168">
        <f>'ADB Inc. Statement'!AA60+'ANT Inc Statement'!AA60+'ACC Inc Statement'!AA60+'PUC Inc. Statement'!AA60+'AASPA Inc. Statement'!AA60+'AFSC Inc. Statement'!AA60+'PSPF Inc. Statement'!AA60+'ATB Inc. Statement'!AA60+'ASSB Inc. Statement'!AA60</f>
        <v>1690631.34</v>
      </c>
      <c r="AB60" s="193">
        <f t="shared" si="33"/>
        <v>186626.35517000011</v>
      </c>
      <c r="AC60" s="196">
        <f t="shared" si="34"/>
        <v>0.110388557667457</v>
      </c>
      <c r="AD60" s="171"/>
      <c r="AE60" s="1179"/>
    </row>
    <row r="61" spans="1:31" x14ac:dyDescent="0.3">
      <c r="A61" s="170" t="s">
        <v>96</v>
      </c>
      <c r="B61" s="168">
        <f>'ADB Inc. Statement'!B61+'ATB Inc. Statement'!B61+'AASPA Inc. Statement'!B61+'ACC Inc Statement'!B61+'ANT Inc Statement'!B61+'PSPF Inc. Statement'!B61+'AFSC Inc. Statement'!B61+'PUC Inc. Statement'!B61+'ASSB Inc. Statement'!B61</f>
        <v>183147.53</v>
      </c>
      <c r="C61" s="165">
        <f>'ADB Inc. Statement'!C61+'ANT Inc Statement'!C61+'ACC Inc Statement'!C61+'PUC Inc. Statement'!C61+'AASPA Inc. Statement'!C61+'AFSC Inc. Statement'!C61+'PSPF Inc. Statement'!C61+'ATB Inc. Statement'!C61+'ASSB Inc. Statement'!C61</f>
        <v>95708.913884000009</v>
      </c>
      <c r="D61" s="193">
        <f t="shared" si="35"/>
        <v>-87438.61611599999</v>
      </c>
      <c r="E61" s="194">
        <f t="shared" si="27"/>
        <v>-0.47742176002045994</v>
      </c>
      <c r="F61" s="171"/>
      <c r="G61" s="168">
        <f>'ADB Inc. Statement'!G61+'ANT Inc Statement'!G61+'ACC Inc Statement'!G61+'PUC Inc. Statement'!G61+'AASPA Inc. Statement'!G61+'AFSC Inc. Statement'!G61+'PSPF Inc. Statement'!G61+'ATB Inc. Statement'!G61+'ASSB Inc. Statement'!G61</f>
        <v>185082.05000000002</v>
      </c>
      <c r="H61" s="165">
        <f>'ADB Inc. Statement'!H61+'ANT Inc Statement'!H61+'ACC Inc Statement'!H61+'PUC Inc. Statement'!H61+'AASPA Inc. Statement'!H61+'AFSC Inc. Statement'!H61+'PSPF Inc. Statement'!H61+'ATB Inc. Statement'!H61+'ASSB Inc. Statement'!H61</f>
        <v>84082.435465999995</v>
      </c>
      <c r="I61" s="193">
        <f t="shared" si="36"/>
        <v>-100999.61453400002</v>
      </c>
      <c r="J61" s="195">
        <f t="shared" si="28"/>
        <v>-0.545701836207239</v>
      </c>
      <c r="K61" s="171"/>
      <c r="L61" s="165">
        <f>'ADB Inc. Statement'!L61+'ANT Inc Statement'!L61+'ACC Inc Statement'!L61+'PUC Inc. Statement'!L61+'AASPA Inc. Statement'!L61+'AFSC Inc. Statement'!L61+'PSPF Inc. Statement'!L61+'ATB Inc. Statement'!L61+'ASSB Inc. Statement'!L61</f>
        <v>185735.15000000002</v>
      </c>
      <c r="M61" s="165">
        <f>'ADB Inc. Statement'!M61+'ANT Inc Statement'!M61+'ACC Inc Statement'!M61+'PUC Inc. Statement'!M61+'AASPA Inc. Statement'!M61+'AFSC Inc. Statement'!M61+'PSPF Inc. Statement'!M61+'ATB Inc. Statement'!M61+'ASSB Inc. Statement'!M61</f>
        <v>88081.58327399999</v>
      </c>
      <c r="N61" s="193">
        <f t="shared" si="37"/>
        <v>-97653.566726000034</v>
      </c>
      <c r="O61" s="196">
        <f t="shared" si="29"/>
        <v>-0.52576782976189496</v>
      </c>
      <c r="P61" s="171"/>
      <c r="Q61" s="165">
        <f>'ADB Inc. Statement'!Q61+'ANT Inc Statement'!Q61+'ACC Inc Statement'!Q61+'PUC Inc. Statement'!Q61+'AASPA Inc. Statement'!Q61+'AFSC Inc. Statement'!Q61+'PSPF Inc. Statement'!Q61+'ATB Inc. Statement'!Q61+'ASSB Inc. Statement'!Q61</f>
        <v>135503.03999999998</v>
      </c>
      <c r="R61" s="165">
        <f>'ADB Inc. Statement'!R61+'ANT Inc Statement'!R61+'ACC Inc Statement'!R61+'PUC Inc. Statement'!R61+'AASPA Inc. Statement'!R61+'AFSC Inc. Statement'!R61+'PSPF Inc. Statement'!R61+'ATB Inc. Statement'!R61+'ASSB Inc. Statement'!R61</f>
        <v>63265.342251999988</v>
      </c>
      <c r="S61" s="193">
        <f t="shared" si="38"/>
        <v>-72237.697747999991</v>
      </c>
      <c r="T61" s="1212">
        <f t="shared" si="30"/>
        <v>-0.53310758008086023</v>
      </c>
      <c r="U61" s="783"/>
      <c r="V61" s="198">
        <f t="shared" si="40"/>
        <v>689467.77</v>
      </c>
      <c r="W61" s="193">
        <f t="shared" si="41"/>
        <v>331138.27487600001</v>
      </c>
      <c r="X61" s="193">
        <f t="shared" si="39"/>
        <v>-358329.49512400001</v>
      </c>
      <c r="Y61" s="196">
        <f t="shared" si="32"/>
        <v>-0.51971899299078184</v>
      </c>
      <c r="Z61" s="169"/>
      <c r="AA61" s="168">
        <f>'ADB Inc. Statement'!AA61+'ANT Inc Statement'!AA61+'ACC Inc Statement'!AA61+'PUC Inc. Statement'!AA61+'AASPA Inc. Statement'!AA61+'AFSC Inc. Statement'!AA61+'PSPF Inc. Statement'!AA61+'ATB Inc. Statement'!AA61+'ASSB Inc. Statement'!AA61</f>
        <v>799566</v>
      </c>
      <c r="AB61" s="193">
        <f t="shared" si="33"/>
        <v>468427.72512399999</v>
      </c>
      <c r="AC61" s="196">
        <f t="shared" si="34"/>
        <v>0.58585248137614654</v>
      </c>
      <c r="AD61" s="171"/>
      <c r="AE61" s="1179"/>
    </row>
    <row r="62" spans="1:31" x14ac:dyDescent="0.3">
      <c r="A62" s="170" t="s">
        <v>110</v>
      </c>
      <c r="B62" s="168">
        <f>'ADB Inc. Statement'!B62+'ATB Inc. Statement'!B62+'AASPA Inc. Statement'!B62+'ACC Inc Statement'!B62+'ANT Inc Statement'!B62+'PSPF Inc. Statement'!B62+'AFSC Inc. Statement'!B62+'PUC Inc. Statement'!B62+'ASSB Inc. Statement'!B62</f>
        <v>972520.45926999999</v>
      </c>
      <c r="C62" s="165">
        <f>'ADB Inc. Statement'!C62+'ANT Inc Statement'!C62+'ACC Inc Statement'!C62+'PUC Inc. Statement'!C62+'AASPA Inc. Statement'!C62+'AFSC Inc. Statement'!C62+'PSPF Inc. Statement'!C62+'ATB Inc. Statement'!C62+'ASSB Inc. Statement'!C62</f>
        <v>1057782.7833280002</v>
      </c>
      <c r="D62" s="193">
        <f t="shared" si="35"/>
        <v>85262.324058000231</v>
      </c>
      <c r="E62" s="194">
        <f t="shared" si="27"/>
        <v>8.7671496517410463E-2</v>
      </c>
      <c r="F62" s="171"/>
      <c r="G62" s="168">
        <f>'ADB Inc. Statement'!G62+'ANT Inc Statement'!G62+'ACC Inc Statement'!G62+'PUC Inc. Statement'!G62+'AASPA Inc. Statement'!G62+'AFSC Inc. Statement'!G62+'PSPF Inc. Statement'!G62+'ATB Inc. Statement'!G62+'ASSB Inc. Statement'!G62</f>
        <v>876267.72000000009</v>
      </c>
      <c r="H62" s="165">
        <f>'ADB Inc. Statement'!H62+'ANT Inc Statement'!H62+'ACC Inc Statement'!H62+'PUC Inc. Statement'!H62+'AASPA Inc. Statement'!H62+'AFSC Inc. Statement'!H62+'PSPF Inc. Statement'!H62+'ATB Inc. Statement'!H62+'ASSB Inc. Statement'!H62</f>
        <v>757042.20383400016</v>
      </c>
      <c r="I62" s="193">
        <f t="shared" si="36"/>
        <v>-119225.51616599993</v>
      </c>
      <c r="J62" s="195">
        <f t="shared" si="28"/>
        <v>-0.13606060504659456</v>
      </c>
      <c r="K62" s="171"/>
      <c r="L62" s="165">
        <f>'ADB Inc. Statement'!L62+'ANT Inc Statement'!L62+'ACC Inc Statement'!L62+'PUC Inc. Statement'!L62+'AASPA Inc. Statement'!L62+'AFSC Inc. Statement'!L62+'PSPF Inc. Statement'!L62+'ATB Inc. Statement'!L62+'ASSB Inc. Statement'!L62</f>
        <v>879795.13639999996</v>
      </c>
      <c r="M62" s="165">
        <f>'ADB Inc. Statement'!M62+'ANT Inc Statement'!M62+'ACC Inc Statement'!M62+'PUC Inc. Statement'!M62+'AASPA Inc. Statement'!M62+'AFSC Inc. Statement'!M62+'PSPF Inc. Statement'!M62+'ATB Inc. Statement'!M62+'ASSB Inc. Statement'!M62</f>
        <v>485962.688738</v>
      </c>
      <c r="N62" s="193">
        <f t="shared" si="37"/>
        <v>-393832.44766199996</v>
      </c>
      <c r="O62" s="196">
        <f t="shared" si="29"/>
        <v>-0.44764108298382721</v>
      </c>
      <c r="P62" s="171"/>
      <c r="Q62" s="165">
        <f>'ADB Inc. Statement'!Q62+'ANT Inc Statement'!Q62+'ACC Inc Statement'!Q62+'PUC Inc. Statement'!Q62+'AASPA Inc. Statement'!Q62+'AFSC Inc. Statement'!Q62+'PSPF Inc. Statement'!Q62+'ATB Inc. Statement'!Q62+'ASSB Inc. Statement'!Q62</f>
        <v>893129.29400000011</v>
      </c>
      <c r="R62" s="165">
        <f>'ADB Inc. Statement'!R62+'ANT Inc Statement'!R62+'ACC Inc Statement'!R62+'PUC Inc. Statement'!R62+'AASPA Inc. Statement'!R62+'AFSC Inc. Statement'!R62+'PSPF Inc. Statement'!R62+'ATB Inc. Statement'!R62+'ASSB Inc. Statement'!R62</f>
        <v>801782.74921199994</v>
      </c>
      <c r="S62" s="193">
        <f t="shared" si="38"/>
        <v>-91346.544788000174</v>
      </c>
      <c r="T62" s="1212">
        <f t="shared" si="30"/>
        <v>-0.10227695519748585</v>
      </c>
      <c r="U62" s="783"/>
      <c r="V62" s="198">
        <f t="shared" si="40"/>
        <v>3621712.6096700006</v>
      </c>
      <c r="W62" s="193">
        <f t="shared" si="41"/>
        <v>3102570.4251120007</v>
      </c>
      <c r="X62" s="193">
        <f t="shared" si="39"/>
        <v>-519142.18455799995</v>
      </c>
      <c r="Y62" s="196">
        <f t="shared" si="32"/>
        <v>-0.14334162881170812</v>
      </c>
      <c r="Z62" s="169"/>
      <c r="AA62" s="168">
        <f>'ADB Inc. Statement'!AA62+'ANT Inc Statement'!AA62+'ACC Inc Statement'!AA62+'PUC Inc. Statement'!AA62+'AASPA Inc. Statement'!AA62+'AFSC Inc. Statement'!AA62+'PSPF Inc. Statement'!AA62+'ATB Inc. Statement'!AA62+'ASSB Inc. Statement'!AA62</f>
        <v>3401379.9211459998</v>
      </c>
      <c r="AB62" s="193">
        <f t="shared" si="33"/>
        <v>298809.49603399914</v>
      </c>
      <c r="AC62" s="196">
        <f t="shared" si="34"/>
        <v>8.7849491371526547E-2</v>
      </c>
      <c r="AD62" s="171"/>
      <c r="AE62" s="1179"/>
    </row>
    <row r="63" spans="1:31" x14ac:dyDescent="0.3">
      <c r="A63" s="170" t="s">
        <v>124</v>
      </c>
      <c r="B63" s="168">
        <f>'ADB Inc. Statement'!B63+'ATB Inc. Statement'!B63+'AASPA Inc. Statement'!B63+'ACC Inc Statement'!B63+'ANT Inc Statement'!B63+'PSPF Inc. Statement'!B63+'AFSC Inc. Statement'!B63+'PUC Inc. Statement'!B63+'ASSB Inc. Statement'!B63</f>
        <v>89485.914443999995</v>
      </c>
      <c r="C63" s="165">
        <f>'ADB Inc. Statement'!C63+'ANT Inc Statement'!C63+'ACC Inc Statement'!C63+'PUC Inc. Statement'!C63+'AASPA Inc. Statement'!C63+'AFSC Inc. Statement'!C63+'PSPF Inc. Statement'!C63+'ATB Inc. Statement'!C63+'ASSB Inc. Statement'!C63</f>
        <v>41284.895540000005</v>
      </c>
      <c r="D63" s="193">
        <f t="shared" si="35"/>
        <v>-48201.01890399999</v>
      </c>
      <c r="E63" s="194">
        <f t="shared" si="27"/>
        <v>-0.5386436424490475</v>
      </c>
      <c r="F63" s="171"/>
      <c r="G63" s="168">
        <f>'ADB Inc. Statement'!G63+'ANT Inc Statement'!G63+'ACC Inc Statement'!G63+'PUC Inc. Statement'!G63+'AASPA Inc. Statement'!G63+'AFSC Inc. Statement'!G63+'PSPF Inc. Statement'!G63+'ATB Inc. Statement'!G63+'ASSB Inc. Statement'!G63</f>
        <v>73967.224443999992</v>
      </c>
      <c r="H63" s="165">
        <f>'ADB Inc. Statement'!H63+'ANT Inc Statement'!H63+'ACC Inc Statement'!H63+'PUC Inc. Statement'!H63+'AASPA Inc. Statement'!H63+'AFSC Inc. Statement'!H63+'PSPF Inc. Statement'!H63+'ATB Inc. Statement'!H63+'ASSB Inc. Statement'!H63</f>
        <v>46537.523998000004</v>
      </c>
      <c r="I63" s="193">
        <f t="shared" si="36"/>
        <v>-27429.700445999988</v>
      </c>
      <c r="J63" s="195">
        <f t="shared" si="28"/>
        <v>-0.37083587564877196</v>
      </c>
      <c r="K63" s="171"/>
      <c r="L63" s="165">
        <f>'ADB Inc. Statement'!L63+'ANT Inc Statement'!L63+'ACC Inc Statement'!L63+'PUC Inc. Statement'!L63+'AASPA Inc. Statement'!L63+'AFSC Inc. Statement'!L63+'PSPF Inc. Statement'!L63+'ATB Inc. Statement'!L63+'ASSB Inc. Statement'!L63</f>
        <v>93741.824443999998</v>
      </c>
      <c r="M63" s="165">
        <f>'ADB Inc. Statement'!M63+'ANT Inc Statement'!M63+'ACC Inc Statement'!M63+'PUC Inc. Statement'!M63+'AASPA Inc. Statement'!M63+'AFSC Inc. Statement'!M63+'PSPF Inc. Statement'!M63+'ATB Inc. Statement'!M63+'ASSB Inc. Statement'!M63</f>
        <v>38511.383116000005</v>
      </c>
      <c r="N63" s="193">
        <f t="shared" si="37"/>
        <v>-55230.441327999994</v>
      </c>
      <c r="O63" s="196">
        <f t="shared" si="29"/>
        <v>-0.58917608714767289</v>
      </c>
      <c r="P63" s="171"/>
      <c r="Q63" s="165">
        <f>'ADB Inc. Statement'!Q63+'ANT Inc Statement'!Q63+'ACC Inc Statement'!Q63+'PUC Inc. Statement'!Q63+'AASPA Inc. Statement'!Q63+'AFSC Inc. Statement'!Q63+'PSPF Inc. Statement'!Q63+'ATB Inc. Statement'!Q63+'ASSB Inc. Statement'!Q63</f>
        <v>82815.674443999989</v>
      </c>
      <c r="R63" s="165">
        <f>'ADB Inc. Statement'!R63+'ANT Inc Statement'!R63+'ACC Inc Statement'!R63+'PUC Inc. Statement'!R63+'AASPA Inc. Statement'!R63+'AFSC Inc. Statement'!R63+'PSPF Inc. Statement'!R63+'ATB Inc. Statement'!R63+'ASSB Inc. Statement'!R63</f>
        <v>65916.600746000011</v>
      </c>
      <c r="S63" s="193">
        <f t="shared" si="38"/>
        <v>-16899.073697999978</v>
      </c>
      <c r="T63" s="1212">
        <f t="shared" si="30"/>
        <v>-0.20405646408672481</v>
      </c>
      <c r="U63" s="783"/>
      <c r="V63" s="198">
        <f t="shared" si="40"/>
        <v>340010.63777599996</v>
      </c>
      <c r="W63" s="193">
        <f t="shared" si="41"/>
        <v>192250.40340000004</v>
      </c>
      <c r="X63" s="193">
        <f t="shared" si="39"/>
        <v>-147760.23437599992</v>
      </c>
      <c r="Y63" s="196">
        <f t="shared" si="32"/>
        <v>-0.43457532782649233</v>
      </c>
      <c r="Z63" s="169"/>
      <c r="AA63" s="168">
        <f>'ADB Inc. Statement'!AA63+'ANT Inc Statement'!AA63+'ACC Inc Statement'!AA63+'PUC Inc. Statement'!AA63+'AASPA Inc. Statement'!AA63+'AFSC Inc. Statement'!AA63+'PSPF Inc. Statement'!AA63+'ATB Inc. Statement'!AA63+'ASSB Inc. Statement'!AA63</f>
        <v>436193.29311895662</v>
      </c>
      <c r="AB63" s="193">
        <f t="shared" si="33"/>
        <v>243942.88971895658</v>
      </c>
      <c r="AC63" s="196">
        <f t="shared" si="34"/>
        <v>0.55925410492826999</v>
      </c>
      <c r="AD63" s="171"/>
      <c r="AE63" s="1179"/>
    </row>
    <row r="64" spans="1:31" x14ac:dyDescent="0.3">
      <c r="A64" s="170" t="s">
        <v>123</v>
      </c>
      <c r="B64" s="168">
        <f>'ADB Inc. Statement'!B64+'ATB Inc. Statement'!B64+'AASPA Inc. Statement'!B64+'ACC Inc Statement'!B64+'ANT Inc Statement'!B64+'PSPF Inc. Statement'!B64+'AFSC Inc. Statement'!B64+'PUC Inc. Statement'!B64+'ASSB Inc. Statement'!B64</f>
        <v>11137500</v>
      </c>
      <c r="C64" s="165">
        <f>'ADB Inc. Statement'!C64+'ANT Inc Statement'!C64+'ACC Inc Statement'!C64+'PUC Inc. Statement'!C64+'AASPA Inc. Statement'!C64+'AFSC Inc. Statement'!C64+'PSPF Inc. Statement'!C64+'ATB Inc. Statement'!C64+'ASSB Inc. Statement'!C64</f>
        <v>11187738.870000001</v>
      </c>
      <c r="D64" s="193">
        <f t="shared" si="35"/>
        <v>50238.870000001043</v>
      </c>
      <c r="E64" s="194">
        <f t="shared" si="27"/>
        <v>4.5107851851852792E-3</v>
      </c>
      <c r="F64" s="230"/>
      <c r="G64" s="168">
        <f>'ADB Inc. Statement'!G64+'ANT Inc Statement'!G64+'ACC Inc Statement'!G64+'PUC Inc. Statement'!G64+'AASPA Inc. Statement'!G64+'AFSC Inc. Statement'!G64+'PSPF Inc. Statement'!G64+'ATB Inc. Statement'!G64+'ASSB Inc. Statement'!G64</f>
        <v>11137500</v>
      </c>
      <c r="H64" s="165">
        <f>'ADB Inc. Statement'!H64+'ANT Inc Statement'!H64+'ACC Inc Statement'!H64+'PUC Inc. Statement'!H64+'AASPA Inc. Statement'!H64+'AFSC Inc. Statement'!H64+'PSPF Inc. Statement'!H64+'ATB Inc. Statement'!H64+'ASSB Inc. Statement'!H64</f>
        <v>10115879.539999999</v>
      </c>
      <c r="I64" s="193">
        <f t="shared" si="36"/>
        <v>-1021620.4600000009</v>
      </c>
      <c r="J64" s="195">
        <f t="shared" si="28"/>
        <v>-9.1727987429854177E-2</v>
      </c>
      <c r="K64" s="230"/>
      <c r="L64" s="165">
        <f>'ADB Inc. Statement'!L64+'ANT Inc Statement'!L64+'ACC Inc Statement'!L64+'PUC Inc. Statement'!L64+'AASPA Inc. Statement'!L64+'AFSC Inc. Statement'!L64+'PSPF Inc. Statement'!L64+'ATB Inc. Statement'!L64+'ASSB Inc. Statement'!L64</f>
        <v>11137500</v>
      </c>
      <c r="M64" s="165">
        <f>'ADB Inc. Statement'!M64+'ANT Inc Statement'!M64+'ACC Inc Statement'!M64+'PUC Inc. Statement'!M64+'AASPA Inc. Statement'!M64+'AFSC Inc. Statement'!M64+'PSPF Inc. Statement'!M64+'ATB Inc. Statement'!M64+'ASSB Inc. Statement'!M64</f>
        <v>12312839.720000001</v>
      </c>
      <c r="N64" s="193">
        <f t="shared" si="37"/>
        <v>1175339.7200000007</v>
      </c>
      <c r="O64" s="196">
        <f t="shared" si="29"/>
        <v>0.10552994118967458</v>
      </c>
      <c r="P64" s="230"/>
      <c r="Q64" s="165">
        <f>'ADB Inc. Statement'!Q64+'ANT Inc Statement'!Q64+'ACC Inc Statement'!Q64+'PUC Inc. Statement'!Q64+'AASPA Inc. Statement'!Q64+'AFSC Inc. Statement'!Q64+'PSPF Inc. Statement'!Q64+'ATB Inc. Statement'!Q64+'ASSB Inc. Statement'!Q64</f>
        <v>2807500</v>
      </c>
      <c r="R64" s="165">
        <f>'ADB Inc. Statement'!R64+'ANT Inc Statement'!R64+'ACC Inc Statement'!R64+'PUC Inc. Statement'!R64+'AASPA Inc. Statement'!R64+'AFSC Inc. Statement'!R64+'PSPF Inc. Statement'!R64+'ATB Inc. Statement'!R64+'ASSB Inc. Statement'!R64</f>
        <v>2839894.54</v>
      </c>
      <c r="S64" s="193">
        <f t="shared" si="38"/>
        <v>32394.540000000037</v>
      </c>
      <c r="T64" s="1212">
        <f t="shared" si="30"/>
        <v>1.1538571682991999E-2</v>
      </c>
      <c r="U64" s="785"/>
      <c r="V64" s="198">
        <f t="shared" si="40"/>
        <v>36220000</v>
      </c>
      <c r="W64" s="193">
        <f t="shared" si="41"/>
        <v>36456352.670000002</v>
      </c>
      <c r="X64" s="193">
        <f t="shared" si="39"/>
        <v>236352.67000000179</v>
      </c>
      <c r="Y64" s="196">
        <f t="shared" si="32"/>
        <v>6.5254740474876257E-3</v>
      </c>
      <c r="Z64" s="231"/>
      <c r="AA64" s="168">
        <f>'ADB Inc. Statement'!AA64+'ANT Inc Statement'!AA64+'ACC Inc Statement'!AA64+'PUC Inc. Statement'!AA64+'AASPA Inc. Statement'!AA64+'AFSC Inc. Statement'!AA64+'PSPF Inc. Statement'!AA64+'ATB Inc. Statement'!AA64+'ASSB Inc. Statement'!AA64</f>
        <v>44550000</v>
      </c>
      <c r="AB64" s="193">
        <f t="shared" si="33"/>
        <v>8093647.3299999982</v>
      </c>
      <c r="AC64" s="196">
        <f t="shared" si="34"/>
        <v>0.18167558540965204</v>
      </c>
      <c r="AD64" s="230"/>
      <c r="AE64" s="1179"/>
    </row>
    <row r="65" spans="1:31" x14ac:dyDescent="0.3">
      <c r="A65" s="170" t="s">
        <v>122</v>
      </c>
      <c r="B65" s="168">
        <f>'ADB Inc. Statement'!B65+'ATB Inc. Statement'!B65+'AASPA Inc. Statement'!B65+'ACC Inc Statement'!B65+'ANT Inc Statement'!B65+'PSPF Inc. Statement'!B65+'AFSC Inc. Statement'!B65+'PUC Inc. Statement'!B65+'ASSB Inc. Statement'!B65</f>
        <v>603357.85000000009</v>
      </c>
      <c r="C65" s="165">
        <f>'ADB Inc. Statement'!C65+'ANT Inc Statement'!C65+'ACC Inc Statement'!C65+'PUC Inc. Statement'!C65+'AASPA Inc. Statement'!C65+'AFSC Inc. Statement'!C65+'PSPF Inc. Statement'!C65+'ATB Inc. Statement'!C65+'ASSB Inc. Statement'!C65</f>
        <v>399363.2</v>
      </c>
      <c r="D65" s="193">
        <f t="shared" si="35"/>
        <v>-203994.65000000008</v>
      </c>
      <c r="E65" s="194">
        <f t="shared" si="27"/>
        <v>-0.33809894078613556</v>
      </c>
      <c r="F65" s="230"/>
      <c r="G65" s="168">
        <f>'ADB Inc. Statement'!G65+'ANT Inc Statement'!G65+'ACC Inc Statement'!G65+'PUC Inc. Statement'!G65+'AASPA Inc. Statement'!G65+'AFSC Inc. Statement'!G65+'PSPF Inc. Statement'!G65+'ATB Inc. Statement'!G65+'ASSB Inc. Statement'!G65</f>
        <v>614003.24</v>
      </c>
      <c r="H65" s="165">
        <f>'ADB Inc. Statement'!H65+'ANT Inc Statement'!H65+'ACC Inc Statement'!H65+'PUC Inc. Statement'!H65+'AASPA Inc. Statement'!H65+'AFSC Inc. Statement'!H65+'PSPF Inc. Statement'!H65+'ATB Inc. Statement'!H65+'ASSB Inc. Statement'!H65</f>
        <v>452198.69999999995</v>
      </c>
      <c r="I65" s="193">
        <f t="shared" si="36"/>
        <v>-161804.54000000004</v>
      </c>
      <c r="J65" s="195">
        <f t="shared" si="28"/>
        <v>-0.26352391886401128</v>
      </c>
      <c r="K65" s="230"/>
      <c r="L65" s="165">
        <f>'ADB Inc. Statement'!L65+'ANT Inc Statement'!L65+'ACC Inc Statement'!L65+'PUC Inc. Statement'!L65+'AASPA Inc. Statement'!L65+'AFSC Inc. Statement'!L65+'PSPF Inc. Statement'!L65+'ATB Inc. Statement'!L65+'ASSB Inc. Statement'!L65</f>
        <v>699346.15</v>
      </c>
      <c r="M65" s="165">
        <f>'ADB Inc. Statement'!M65+'ANT Inc Statement'!M65+'ACC Inc Statement'!M65+'PUC Inc. Statement'!M65+'AASPA Inc. Statement'!M65+'AFSC Inc. Statement'!M65+'PSPF Inc. Statement'!M65+'ATB Inc. Statement'!M65+'ASSB Inc. Statement'!M65</f>
        <v>411476.30999999994</v>
      </c>
      <c r="N65" s="193">
        <f t="shared" si="37"/>
        <v>-287869.84000000008</v>
      </c>
      <c r="O65" s="196">
        <f t="shared" si="29"/>
        <v>-0.41162711770129867</v>
      </c>
      <c r="P65" s="230"/>
      <c r="Q65" s="165">
        <f>'ADB Inc. Statement'!Q65+'ANT Inc Statement'!Q65+'ACC Inc Statement'!Q65+'PUC Inc. Statement'!Q65+'AASPA Inc. Statement'!Q65+'AFSC Inc. Statement'!Q65+'PSPF Inc. Statement'!Q65+'ATB Inc. Statement'!Q65+'ASSB Inc. Statement'!Q65</f>
        <v>790437.95</v>
      </c>
      <c r="R65" s="165">
        <f>'ADB Inc. Statement'!R65+'ANT Inc Statement'!R65+'ACC Inc Statement'!R65+'PUC Inc. Statement'!R65+'AASPA Inc. Statement'!R65+'AFSC Inc. Statement'!R65+'PSPF Inc. Statement'!R65+'ATB Inc. Statement'!R65+'ASSB Inc. Statement'!R65</f>
        <v>367608.71045200003</v>
      </c>
      <c r="S65" s="193">
        <f t="shared" si="38"/>
        <v>-422829.23954799992</v>
      </c>
      <c r="T65" s="1212">
        <f t="shared" si="30"/>
        <v>-0.5349303377298622</v>
      </c>
      <c r="U65" s="785"/>
      <c r="V65" s="198">
        <f t="shared" si="40"/>
        <v>2707145.1900000004</v>
      </c>
      <c r="W65" s="193">
        <f t="shared" si="41"/>
        <v>1630646.9204520001</v>
      </c>
      <c r="X65" s="193">
        <f t="shared" si="39"/>
        <v>-1076498.2695480003</v>
      </c>
      <c r="Y65" s="196">
        <f t="shared" si="32"/>
        <v>-0.39765073315037092</v>
      </c>
      <c r="Z65" s="231"/>
      <c r="AA65" s="168">
        <f>'ADB Inc. Statement'!AA65+'ANT Inc Statement'!AA65+'ACC Inc Statement'!AA65+'PUC Inc. Statement'!AA65+'AASPA Inc. Statement'!AA65+'AFSC Inc. Statement'!AA65+'PSPF Inc. Statement'!AA65+'ATB Inc. Statement'!AA65+'ASSB Inc. Statement'!AA65</f>
        <v>3844466.6740000001</v>
      </c>
      <c r="AB65" s="193">
        <f t="shared" si="33"/>
        <v>2213819.753548</v>
      </c>
      <c r="AC65" s="196">
        <f t="shared" si="34"/>
        <v>0.57584573915544368</v>
      </c>
      <c r="AD65" s="230"/>
      <c r="AE65" s="1178"/>
    </row>
    <row r="66" spans="1:31" x14ac:dyDescent="0.3">
      <c r="A66" s="170" t="s">
        <v>114</v>
      </c>
      <c r="B66" s="168">
        <f>'ADB Inc. Statement'!B66+'ATB Inc. Statement'!B66+'AASPA Inc. Statement'!B66+'ACC Inc Statement'!B66+'ANT Inc Statement'!B66+'PSPF Inc. Statement'!B66+'AFSC Inc. Statement'!B66+'PUC Inc. Statement'!B66+'ASSB Inc. Statement'!B66</f>
        <v>7528.93</v>
      </c>
      <c r="C66" s="165">
        <f>'ADB Inc. Statement'!C66+'ANT Inc Statement'!C66+'ACC Inc Statement'!C66+'PUC Inc. Statement'!C66+'AASPA Inc. Statement'!C66+'AFSC Inc. Statement'!C66+'PSPF Inc. Statement'!C66+'ATB Inc. Statement'!C66+'ASSB Inc. Statement'!C66</f>
        <v>954.32</v>
      </c>
      <c r="D66" s="193">
        <f t="shared" si="35"/>
        <v>-6574.6100000000006</v>
      </c>
      <c r="E66" s="194">
        <f t="shared" si="27"/>
        <v>-0.8732462647414706</v>
      </c>
      <c r="F66" s="230"/>
      <c r="G66" s="168">
        <f>'ADB Inc. Statement'!G66+'ANT Inc Statement'!G66+'ACC Inc Statement'!G66+'PUC Inc. Statement'!G66+'AASPA Inc. Statement'!G66+'AFSC Inc. Statement'!G66+'PSPF Inc. Statement'!G66+'ATB Inc. Statement'!G66+'ASSB Inc. Statement'!G66</f>
        <v>12702.130000000001</v>
      </c>
      <c r="H66" s="165">
        <f>'ADB Inc. Statement'!H66+'ANT Inc Statement'!H66+'ACC Inc Statement'!H66+'PUC Inc. Statement'!H66+'AASPA Inc. Statement'!H66+'AFSC Inc. Statement'!H66+'PSPF Inc. Statement'!H66+'ATB Inc. Statement'!H66+'ASSB Inc. Statement'!H66</f>
        <v>2007.4799999999996</v>
      </c>
      <c r="I66" s="193">
        <f t="shared" si="36"/>
        <v>-10694.650000000001</v>
      </c>
      <c r="J66" s="195">
        <f t="shared" si="28"/>
        <v>-0.8419572150497594</v>
      </c>
      <c r="K66" s="230"/>
      <c r="L66" s="165">
        <f>'ADB Inc. Statement'!L66+'ANT Inc Statement'!L66+'ACC Inc Statement'!L66+'PUC Inc. Statement'!L66+'AASPA Inc. Statement'!L66+'AFSC Inc. Statement'!L66+'PSPF Inc. Statement'!L66+'ATB Inc. Statement'!L66+'ASSB Inc. Statement'!L66</f>
        <v>3242.9700000000003</v>
      </c>
      <c r="M66" s="165">
        <f>'ADB Inc. Statement'!M66+'ANT Inc Statement'!M66+'ACC Inc Statement'!M66+'PUC Inc. Statement'!M66+'AASPA Inc. Statement'!M66+'AFSC Inc. Statement'!M66+'PSPF Inc. Statement'!M66+'ATB Inc. Statement'!M66+'ASSB Inc. Statement'!M66</f>
        <v>31581.370000000003</v>
      </c>
      <c r="N66" s="193">
        <f t="shared" si="37"/>
        <v>28338.400000000001</v>
      </c>
      <c r="O66" s="196">
        <f t="shared" si="29"/>
        <v>8.7384095443374434</v>
      </c>
      <c r="P66" s="230"/>
      <c r="Q66" s="165">
        <f>'ADB Inc. Statement'!Q66+'ANT Inc Statement'!Q66+'ACC Inc Statement'!Q66+'PUC Inc. Statement'!Q66+'AASPA Inc. Statement'!Q66+'AFSC Inc. Statement'!Q66+'PSPF Inc. Statement'!Q66+'ATB Inc. Statement'!Q66+'ASSB Inc. Statement'!Q66</f>
        <v>4900.97</v>
      </c>
      <c r="R66" s="165">
        <f>'ADB Inc. Statement'!R66+'ANT Inc Statement'!R66+'ACC Inc Statement'!R66+'PUC Inc. Statement'!R66+'AASPA Inc. Statement'!R66+'AFSC Inc. Statement'!R66+'PSPF Inc. Statement'!R66+'ATB Inc. Statement'!R66+'ASSB Inc. Statement'!R66</f>
        <v>34602.499999999993</v>
      </c>
      <c r="S66" s="193">
        <f t="shared" si="38"/>
        <v>29701.529999999992</v>
      </c>
      <c r="T66" s="1212">
        <f t="shared" si="30"/>
        <v>6.0603370353215773</v>
      </c>
      <c r="U66" s="785"/>
      <c r="V66" s="198">
        <f t="shared" si="40"/>
        <v>28375.000000000004</v>
      </c>
      <c r="W66" s="193">
        <f t="shared" si="41"/>
        <v>69145.67</v>
      </c>
      <c r="X66" s="193">
        <f t="shared" si="39"/>
        <v>40770.67</v>
      </c>
      <c r="Y66" s="196">
        <f t="shared" si="32"/>
        <v>1.4368518061674007</v>
      </c>
      <c r="Z66" s="231"/>
      <c r="AA66" s="168">
        <f>'ADB Inc. Statement'!AA66+'ANT Inc Statement'!AA66+'ACC Inc Statement'!AA66+'PUC Inc. Statement'!AA66+'AASPA Inc. Statement'!AA66+'AFSC Inc. Statement'!AA66+'PSPF Inc. Statement'!AA66+'ATB Inc. Statement'!AA66+'ASSB Inc. Statement'!AA66</f>
        <v>30376</v>
      </c>
      <c r="AB66" s="193">
        <f t="shared" si="33"/>
        <v>-38769.67</v>
      </c>
      <c r="AC66" s="196">
        <f t="shared" si="34"/>
        <v>-1.2763257176718461</v>
      </c>
      <c r="AD66" s="230"/>
      <c r="AE66" s="1179"/>
    </row>
    <row r="67" spans="1:31" x14ac:dyDescent="0.3">
      <c r="A67" s="170" t="s">
        <v>115</v>
      </c>
      <c r="B67" s="168">
        <f>'ADB Inc. Statement'!B67+'ATB Inc. Statement'!B67+'AASPA Inc. Statement'!B67+'ACC Inc Statement'!B67+'ANT Inc Statement'!B67+'PSPF Inc. Statement'!B67+'AFSC Inc. Statement'!B67+'PUC Inc. Statement'!B67+'ASSB Inc. Statement'!B67</f>
        <v>113354.06</v>
      </c>
      <c r="C67" s="165">
        <f>'ADB Inc. Statement'!C67+'ANT Inc Statement'!C67+'ACC Inc Statement'!C67+'PUC Inc. Statement'!C67+'AASPA Inc. Statement'!C67+'AFSC Inc. Statement'!C67+'PSPF Inc. Statement'!C67+'ATB Inc. Statement'!C67+'ASSB Inc. Statement'!C67</f>
        <v>116587.56</v>
      </c>
      <c r="D67" s="193">
        <f t="shared" si="35"/>
        <v>3233.5</v>
      </c>
      <c r="E67" s="194">
        <f t="shared" si="27"/>
        <v>2.8525665512113108E-2</v>
      </c>
      <c r="F67" s="171"/>
      <c r="G67" s="168">
        <f>'ADB Inc. Statement'!G67+'ANT Inc Statement'!G67+'ACC Inc Statement'!G67+'PUC Inc. Statement'!G67+'AASPA Inc. Statement'!G67+'AFSC Inc. Statement'!G67+'PSPF Inc. Statement'!G67+'ATB Inc. Statement'!G67+'ASSB Inc. Statement'!G67</f>
        <v>118354.06</v>
      </c>
      <c r="H67" s="165">
        <f>'ADB Inc. Statement'!H67+'ANT Inc Statement'!H67+'ACC Inc Statement'!H67+'PUC Inc. Statement'!H67+'AASPA Inc. Statement'!H67+'AFSC Inc. Statement'!H67+'PSPF Inc. Statement'!H67+'ATB Inc. Statement'!H67+'ASSB Inc. Statement'!H67</f>
        <v>103049.17000000001</v>
      </c>
      <c r="I67" s="193">
        <f t="shared" si="36"/>
        <v>-15304.889999999985</v>
      </c>
      <c r="J67" s="195">
        <f t="shared" si="28"/>
        <v>-0.12931444852842383</v>
      </c>
      <c r="K67" s="171"/>
      <c r="L67" s="165">
        <f>'ADB Inc. Statement'!L67+'ANT Inc Statement'!L67+'ACC Inc Statement'!L67+'PUC Inc. Statement'!L67+'AASPA Inc. Statement'!L67+'AFSC Inc. Statement'!L67+'PSPF Inc. Statement'!L67+'ATB Inc. Statement'!L67+'ASSB Inc. Statement'!L67</f>
        <v>123589.97</v>
      </c>
      <c r="M67" s="165">
        <f>'ADB Inc. Statement'!M67+'ANT Inc Statement'!M67+'ACC Inc Statement'!M67+'PUC Inc. Statement'!M67+'AASPA Inc. Statement'!M67+'AFSC Inc. Statement'!M67+'PSPF Inc. Statement'!M67+'ATB Inc. Statement'!M67+'ASSB Inc. Statement'!M67</f>
        <v>102966.78</v>
      </c>
      <c r="N67" s="193">
        <f t="shared" si="37"/>
        <v>-20623.190000000002</v>
      </c>
      <c r="O67" s="196">
        <f t="shared" si="29"/>
        <v>-0.16686782916121756</v>
      </c>
      <c r="P67" s="171"/>
      <c r="Q67" s="165">
        <f>'ADB Inc. Statement'!Q67+'ANT Inc Statement'!Q67+'ACC Inc Statement'!Q67+'PUC Inc. Statement'!Q67+'AASPA Inc. Statement'!Q67+'AFSC Inc. Statement'!Q67+'PSPF Inc. Statement'!Q67+'ATB Inc. Statement'!Q67+'ASSB Inc. Statement'!Q67</f>
        <v>112639.91</v>
      </c>
      <c r="R67" s="165">
        <f>'ADB Inc. Statement'!R67+'ANT Inc Statement'!R67+'ACC Inc Statement'!R67+'PUC Inc. Statement'!R67+'AASPA Inc. Statement'!R67+'AFSC Inc. Statement'!R67+'PSPF Inc. Statement'!R67+'ATB Inc. Statement'!R67+'ASSB Inc. Statement'!R67</f>
        <v>111714.43</v>
      </c>
      <c r="S67" s="193">
        <f t="shared" si="38"/>
        <v>-925.48000000001048</v>
      </c>
      <c r="T67" s="1212">
        <f t="shared" si="30"/>
        <v>-8.2162707693925752E-3</v>
      </c>
      <c r="U67" s="783"/>
      <c r="V67" s="198">
        <f t="shared" si="40"/>
        <v>467938</v>
      </c>
      <c r="W67" s="193">
        <f t="shared" si="41"/>
        <v>434317.94</v>
      </c>
      <c r="X67" s="193">
        <f t="shared" si="39"/>
        <v>-33620.06</v>
      </c>
      <c r="Y67" s="196">
        <f t="shared" si="32"/>
        <v>-7.184725326859541E-2</v>
      </c>
      <c r="Z67" s="169"/>
      <c r="AA67" s="168">
        <f>'ADB Inc. Statement'!AA67+'ANT Inc Statement'!AA67+'ACC Inc Statement'!AA67+'PUC Inc. Statement'!AA67+'AASPA Inc. Statement'!AA67+'AFSC Inc. Statement'!AA67+'PSPF Inc. Statement'!AA67+'ATB Inc. Statement'!AA67+'ASSB Inc. Statement'!AA67</f>
        <v>484491.2</v>
      </c>
      <c r="AB67" s="193">
        <f t="shared" si="33"/>
        <v>50173.260000000009</v>
      </c>
      <c r="AC67" s="196">
        <f t="shared" si="34"/>
        <v>0.10355866112738479</v>
      </c>
      <c r="AD67" s="171"/>
      <c r="AE67" s="1178"/>
    </row>
    <row r="68" spans="1:31" x14ac:dyDescent="0.3">
      <c r="A68" s="170" t="s">
        <v>121</v>
      </c>
      <c r="B68" s="168">
        <f>'ADB Inc. Statement'!B68+'ATB Inc. Statement'!B68+'AASPA Inc. Statement'!B68+'ACC Inc Statement'!B68+'ANT Inc Statement'!B68+'PSPF Inc. Statement'!B68+'AFSC Inc. Statement'!B68+'PUC Inc. Statement'!B68+'ASSB Inc. Statement'!B68</f>
        <v>1240000.5</v>
      </c>
      <c r="C68" s="165">
        <f>'ADB Inc. Statement'!C68+'ANT Inc Statement'!C68+'ACC Inc Statement'!C68+'PUC Inc. Statement'!C68+'AASPA Inc. Statement'!C68+'AFSC Inc. Statement'!C68+'PSPF Inc. Statement'!C68+'ATB Inc. Statement'!C68+'ASSB Inc. Statement'!C68</f>
        <v>885002.75</v>
      </c>
      <c r="D68" s="193">
        <f t="shared" si="35"/>
        <v>-354997.75</v>
      </c>
      <c r="E68" s="194">
        <f t="shared" si="27"/>
        <v>-0.28628839262564815</v>
      </c>
      <c r="F68" s="230"/>
      <c r="G68" s="168">
        <f>'ADB Inc. Statement'!G68+'ANT Inc Statement'!G68+'ACC Inc Statement'!G68+'PUC Inc. Statement'!G68+'AASPA Inc. Statement'!G68+'AFSC Inc. Statement'!G68+'PSPF Inc. Statement'!G68+'ATB Inc. Statement'!G68+'ASSB Inc. Statement'!G68</f>
        <v>1240000.5</v>
      </c>
      <c r="H68" s="165">
        <f>'ADB Inc. Statement'!H68+'ANT Inc Statement'!H68+'ACC Inc Statement'!H68+'PUC Inc. Statement'!H68+'AASPA Inc. Statement'!H68+'AFSC Inc. Statement'!H68+'PSPF Inc. Statement'!H68+'ATB Inc. Statement'!H68+'ASSB Inc. Statement'!H68</f>
        <v>1203233.1499999999</v>
      </c>
      <c r="I68" s="193">
        <f t="shared" si="36"/>
        <v>-36767.350000000093</v>
      </c>
      <c r="J68" s="195">
        <f t="shared" si="28"/>
        <v>-2.9651076753598158E-2</v>
      </c>
      <c r="K68" s="230"/>
      <c r="L68" s="165">
        <f>'ADB Inc. Statement'!L68+'ANT Inc Statement'!L68+'ACC Inc Statement'!L68+'PUC Inc. Statement'!L68+'AASPA Inc. Statement'!L68+'AFSC Inc. Statement'!L68+'PSPF Inc. Statement'!L68+'ATB Inc. Statement'!L68+'ASSB Inc. Statement'!L68</f>
        <v>1239999.5</v>
      </c>
      <c r="M68" s="165">
        <f>'ADB Inc. Statement'!M68+'ANT Inc Statement'!M68+'ACC Inc Statement'!M68+'PUC Inc. Statement'!M68+'AASPA Inc. Statement'!M68+'AFSC Inc. Statement'!M68+'PSPF Inc. Statement'!M68+'ATB Inc. Statement'!M68+'ASSB Inc. Statement'!M68</f>
        <v>1038460.67</v>
      </c>
      <c r="N68" s="193">
        <f t="shared" si="37"/>
        <v>-201538.82999999996</v>
      </c>
      <c r="O68" s="196">
        <f t="shared" si="29"/>
        <v>-0.16253138005297579</v>
      </c>
      <c r="P68" s="230"/>
      <c r="Q68" s="165">
        <f>'ADB Inc. Statement'!Q68+'ANT Inc Statement'!Q68+'ACC Inc Statement'!Q68+'PUC Inc. Statement'!Q68+'AASPA Inc. Statement'!Q68+'AFSC Inc. Statement'!Q68+'PSPF Inc. Statement'!Q68+'ATB Inc. Statement'!Q68+'ASSB Inc. Statement'!Q68</f>
        <v>0</v>
      </c>
      <c r="R68" s="165">
        <f>'ADB Inc. Statement'!R68+'ANT Inc Statement'!R68+'ACC Inc Statement'!R68+'PUC Inc. Statement'!R68+'AASPA Inc. Statement'!R68+'AFSC Inc. Statement'!R68+'PSPF Inc. Statement'!R68+'ATB Inc. Statement'!R68+'ASSB Inc. Statement'!R68</f>
        <v>0</v>
      </c>
      <c r="S68" s="193">
        <f t="shared" si="38"/>
        <v>0</v>
      </c>
      <c r="T68" s="1212" t="str">
        <f t="shared" si="30"/>
        <v>-</v>
      </c>
      <c r="U68" s="785"/>
      <c r="V68" s="198">
        <f t="shared" si="40"/>
        <v>3720000.5</v>
      </c>
      <c r="W68" s="193">
        <f t="shared" si="41"/>
        <v>3126696.57</v>
      </c>
      <c r="X68" s="193">
        <f t="shared" si="39"/>
        <v>-593303.93000000017</v>
      </c>
      <c r="Y68" s="196">
        <f t="shared" si="32"/>
        <v>-0.159490282326575</v>
      </c>
      <c r="Z68" s="231"/>
      <c r="AA68" s="168">
        <f>'ADB Inc. Statement'!AA68+'ANT Inc Statement'!AA68+'ACC Inc Statement'!AA68+'PUC Inc. Statement'!AA68+'AASPA Inc. Statement'!AA68+'AFSC Inc. Statement'!AA68+'PSPF Inc. Statement'!AA68+'ATB Inc. Statement'!AA68+'ASSB Inc. Statement'!AA68</f>
        <v>4960002</v>
      </c>
      <c r="AB68" s="193">
        <f t="shared" si="33"/>
        <v>1833305.4300000002</v>
      </c>
      <c r="AC68" s="196">
        <f t="shared" si="34"/>
        <v>0.3696178812024673</v>
      </c>
      <c r="AD68" s="230"/>
      <c r="AE68" s="1178"/>
    </row>
    <row r="69" spans="1:31" x14ac:dyDescent="0.3">
      <c r="A69" s="170" t="s">
        <v>97</v>
      </c>
      <c r="B69" s="168">
        <f>'ADB Inc. Statement'!B69+'ATB Inc. Statement'!B69+'AASPA Inc. Statement'!B69+'ACC Inc Statement'!B69+'ANT Inc Statement'!B69+'PSPF Inc. Statement'!B69+'AFSC Inc. Statement'!B69+'PUC Inc. Statement'!B69+'ASSB Inc. Statement'!B69</f>
        <v>382904.76097600005</v>
      </c>
      <c r="C69" s="165">
        <f>'ADB Inc. Statement'!C69+'ANT Inc Statement'!C69+'ACC Inc Statement'!C69+'PUC Inc. Statement'!C69+'AASPA Inc. Statement'!C69+'AFSC Inc. Statement'!C69+'PSPF Inc. Statement'!C69+'ATB Inc. Statement'!C69+'ASSB Inc. Statement'!C69</f>
        <v>368388.07655199995</v>
      </c>
      <c r="D69" s="193">
        <f t="shared" si="35"/>
        <v>-14516.684424000094</v>
      </c>
      <c r="E69" s="194">
        <f t="shared" si="27"/>
        <v>-3.79119977171294E-2</v>
      </c>
      <c r="F69" s="230"/>
      <c r="G69" s="168">
        <f>'ADB Inc. Statement'!G69+'ANT Inc Statement'!G69+'ACC Inc Statement'!G69+'PUC Inc. Statement'!G69+'AASPA Inc. Statement'!G69+'AFSC Inc. Statement'!G69+'PSPF Inc. Statement'!G69+'ATB Inc. Statement'!G69+'ASSB Inc. Statement'!G69</f>
        <v>164563.560432</v>
      </c>
      <c r="H69" s="165">
        <f>'ADB Inc. Statement'!H69+'ANT Inc Statement'!H69+'ACC Inc Statement'!H69+'PUC Inc. Statement'!H69+'AASPA Inc. Statement'!H69+'AFSC Inc. Statement'!H69+'PSPF Inc. Statement'!H69+'ATB Inc. Statement'!H69+'ASSB Inc. Statement'!H69</f>
        <v>172728.40623600001</v>
      </c>
      <c r="I69" s="193">
        <f t="shared" si="36"/>
        <v>8164.8458040000114</v>
      </c>
      <c r="J69" s="195">
        <f t="shared" si="28"/>
        <v>4.9615150417056282E-2</v>
      </c>
      <c r="K69" s="230"/>
      <c r="L69" s="165">
        <f>'ADB Inc. Statement'!L69+'ANT Inc Statement'!L69+'ACC Inc Statement'!L69+'PUC Inc. Statement'!L69+'AASPA Inc. Statement'!L69+'AFSC Inc. Statement'!L69+'PSPF Inc. Statement'!L69+'ATB Inc. Statement'!L69+'ASSB Inc. Statement'!L69</f>
        <v>128708.65390800001</v>
      </c>
      <c r="M69" s="165">
        <f>'ADB Inc. Statement'!M69+'ANT Inc Statement'!M69+'ACC Inc Statement'!M69+'PUC Inc. Statement'!M69+'AASPA Inc. Statement'!M69+'AFSC Inc. Statement'!M69+'PSPF Inc. Statement'!M69+'ATB Inc. Statement'!M69+'ASSB Inc. Statement'!M69</f>
        <v>202426.245302</v>
      </c>
      <c r="N69" s="193">
        <f t="shared" si="37"/>
        <v>73717.591393999988</v>
      </c>
      <c r="O69" s="196">
        <f t="shared" si="29"/>
        <v>0.57274774582517796</v>
      </c>
      <c r="P69" s="230"/>
      <c r="Q69" s="165">
        <f>'ADB Inc. Statement'!Q69+'ANT Inc Statement'!Q69+'ACC Inc Statement'!Q69+'PUC Inc. Statement'!Q69+'AASPA Inc. Statement'!Q69+'AFSC Inc. Statement'!Q69+'PSPF Inc. Statement'!Q69+'ATB Inc. Statement'!Q69+'ASSB Inc. Statement'!Q69</f>
        <v>107235.81150800001</v>
      </c>
      <c r="R69" s="165">
        <f>'ADB Inc. Statement'!R69+'ANT Inc Statement'!R69+'ACC Inc Statement'!R69+'PUC Inc. Statement'!R69+'AASPA Inc. Statement'!R69+'AFSC Inc. Statement'!R69+'PSPF Inc. Statement'!R69+'ATB Inc. Statement'!R69+'ASSB Inc. Statement'!R69</f>
        <v>83501.661924000029</v>
      </c>
      <c r="S69" s="193">
        <f t="shared" si="38"/>
        <v>-23734.149583999984</v>
      </c>
      <c r="T69" s="1212">
        <f t="shared" si="30"/>
        <v>-0.22132671213318852</v>
      </c>
      <c r="U69" s="785"/>
      <c r="V69" s="198">
        <f t="shared" si="40"/>
        <v>783412.78682400007</v>
      </c>
      <c r="W69" s="193">
        <f t="shared" si="41"/>
        <v>827044.390014</v>
      </c>
      <c r="X69" s="193">
        <f t="shared" si="39"/>
        <v>43631.603189999936</v>
      </c>
      <c r="Y69" s="196">
        <f t="shared" si="32"/>
        <v>5.569426989682532E-2</v>
      </c>
      <c r="Z69" s="231"/>
      <c r="AA69" s="168">
        <f>'ADB Inc. Statement'!AA69+'ANT Inc Statement'!AA69+'ACC Inc Statement'!AA69+'PUC Inc. Statement'!AA69+'AASPA Inc. Statement'!AA69+'AFSC Inc. Statement'!AA69+'PSPF Inc. Statement'!AA69+'ATB Inc. Statement'!AA69+'ASSB Inc. Statement'!AA69</f>
        <v>840662.03536800004</v>
      </c>
      <c r="AB69" s="193">
        <f t="shared" si="33"/>
        <v>13617.645354000037</v>
      </c>
      <c r="AC69" s="196">
        <f t="shared" si="34"/>
        <v>1.6198715751495674E-2</v>
      </c>
      <c r="AD69" s="230"/>
      <c r="AE69" s="1179"/>
    </row>
    <row r="70" spans="1:31" x14ac:dyDescent="0.3">
      <c r="A70" s="170" t="s">
        <v>98</v>
      </c>
      <c r="B70" s="168">
        <f>'ADB Inc. Statement'!B70+'ATB Inc. Statement'!B70+'AASPA Inc. Statement'!B70+'ACC Inc Statement'!B70+'ANT Inc Statement'!B70+'PSPF Inc. Statement'!B70+'AFSC Inc. Statement'!B70+'PUC Inc. Statement'!B70+'ASSB Inc. Statement'!B70</f>
        <v>8545.5</v>
      </c>
      <c r="C70" s="165">
        <f>'ADB Inc. Statement'!C70+'ANT Inc Statement'!C70+'ACC Inc Statement'!C70+'PUC Inc. Statement'!C70+'AASPA Inc. Statement'!C70+'AFSC Inc. Statement'!C70+'PSPF Inc. Statement'!C70+'ATB Inc. Statement'!C70+'ASSB Inc. Statement'!C70</f>
        <v>4607.13</v>
      </c>
      <c r="D70" s="193">
        <f t="shared" si="35"/>
        <v>-3938.37</v>
      </c>
      <c r="E70" s="194">
        <f t="shared" si="27"/>
        <v>-0.46087063366684217</v>
      </c>
      <c r="F70" s="171"/>
      <c r="G70" s="168">
        <f>'ADB Inc. Statement'!G70+'ANT Inc Statement'!G70+'ACC Inc Statement'!G70+'PUC Inc. Statement'!G70+'AASPA Inc. Statement'!G70+'AFSC Inc. Statement'!G70+'PSPF Inc. Statement'!G70+'ATB Inc. Statement'!G70+'ASSB Inc. Statement'!G70</f>
        <v>8545.5</v>
      </c>
      <c r="H70" s="165">
        <f>'ADB Inc. Statement'!H70+'ANT Inc Statement'!H70+'ACC Inc Statement'!H70+'PUC Inc. Statement'!H70+'AASPA Inc. Statement'!H70+'AFSC Inc. Statement'!H70+'PSPF Inc. Statement'!H70+'ATB Inc. Statement'!H70+'ASSB Inc. Statement'!H70</f>
        <v>4439.41</v>
      </c>
      <c r="I70" s="193">
        <f t="shared" si="36"/>
        <v>-4106.09</v>
      </c>
      <c r="J70" s="195">
        <f t="shared" si="28"/>
        <v>-0.48049733778011822</v>
      </c>
      <c r="K70" s="171"/>
      <c r="L70" s="165">
        <f>'ADB Inc. Statement'!L70+'ANT Inc Statement'!L70+'ACC Inc Statement'!L70+'PUC Inc. Statement'!L70+'AASPA Inc. Statement'!L70+'AFSC Inc. Statement'!L70+'PSPF Inc. Statement'!L70+'ATB Inc. Statement'!L70+'ASSB Inc. Statement'!L70</f>
        <v>7345.5</v>
      </c>
      <c r="M70" s="165">
        <f>'ADB Inc. Statement'!M70+'ANT Inc Statement'!M70+'ACC Inc Statement'!M70+'PUC Inc. Statement'!M70+'AASPA Inc. Statement'!M70+'AFSC Inc. Statement'!M70+'PSPF Inc. Statement'!M70+'ATB Inc. Statement'!M70+'ASSB Inc. Statement'!M70</f>
        <v>5610.11</v>
      </c>
      <c r="N70" s="193">
        <f t="shared" si="37"/>
        <v>-1735.3900000000003</v>
      </c>
      <c r="O70" s="196">
        <f t="shared" si="29"/>
        <v>-0.23625212715267854</v>
      </c>
      <c r="P70" s="171"/>
      <c r="Q70" s="165">
        <f>'ADB Inc. Statement'!Q70+'ANT Inc Statement'!Q70+'ACC Inc Statement'!Q70+'PUC Inc. Statement'!Q70+'AASPA Inc. Statement'!Q70+'AFSC Inc. Statement'!Q70+'PSPF Inc. Statement'!Q70+'ATB Inc. Statement'!Q70+'ASSB Inc. Statement'!Q70</f>
        <v>6845.5</v>
      </c>
      <c r="R70" s="165">
        <f>'ADB Inc. Statement'!R70+'ANT Inc Statement'!R70+'ACC Inc Statement'!R70+'PUC Inc. Statement'!R70+'AASPA Inc. Statement'!R70+'AFSC Inc. Statement'!R70+'PSPF Inc. Statement'!R70+'ATB Inc. Statement'!R70+'ASSB Inc. Statement'!R70</f>
        <v>3095.07</v>
      </c>
      <c r="S70" s="193">
        <f t="shared" si="38"/>
        <v>-3750.43</v>
      </c>
      <c r="T70" s="1212">
        <f t="shared" si="30"/>
        <v>-0.54786794244394121</v>
      </c>
      <c r="U70" s="783"/>
      <c r="V70" s="198">
        <f t="shared" si="40"/>
        <v>31282</v>
      </c>
      <c r="W70" s="193">
        <f t="shared" si="41"/>
        <v>17751.72</v>
      </c>
      <c r="X70" s="193">
        <f t="shared" si="39"/>
        <v>-13530.279999999999</v>
      </c>
      <c r="Y70" s="196">
        <f t="shared" si="32"/>
        <v>-0.43252605332139887</v>
      </c>
      <c r="Z70" s="169"/>
      <c r="AA70" s="168">
        <f>'ADB Inc. Statement'!AA70+'ANT Inc Statement'!AA70+'ACC Inc Statement'!AA70+'PUC Inc. Statement'!AA70+'AASPA Inc. Statement'!AA70+'AFSC Inc. Statement'!AA70+'PSPF Inc. Statement'!AA70+'ATB Inc. Statement'!AA70+'ASSB Inc. Statement'!AA70</f>
        <v>76482</v>
      </c>
      <c r="AB70" s="193">
        <f t="shared" si="33"/>
        <v>58730.28</v>
      </c>
      <c r="AC70" s="196">
        <f t="shared" si="34"/>
        <v>0.76789676002196594</v>
      </c>
      <c r="AD70" s="171"/>
      <c r="AE70" s="1179"/>
    </row>
    <row r="71" spans="1:31" x14ac:dyDescent="0.3">
      <c r="A71" s="170" t="s">
        <v>116</v>
      </c>
      <c r="B71" s="168">
        <f>'ADB Inc. Statement'!B71+'ATB Inc. Statement'!B71+'AASPA Inc. Statement'!B71+'ACC Inc Statement'!B71+'ANT Inc Statement'!B71+'PSPF Inc. Statement'!B71+'AFSC Inc. Statement'!B71+'PUC Inc. Statement'!B71+'ASSB Inc. Statement'!B71</f>
        <v>109227.548714</v>
      </c>
      <c r="C71" s="165">
        <f>'ADB Inc. Statement'!C71+'ANT Inc Statement'!C71+'ACC Inc Statement'!C71+'PUC Inc. Statement'!C71+'AASPA Inc. Statement'!C71+'AFSC Inc. Statement'!C71+'PSPF Inc. Statement'!C71+'ATB Inc. Statement'!C71+'ASSB Inc. Statement'!C71</f>
        <v>54034.888714000001</v>
      </c>
      <c r="D71" s="193">
        <f t="shared" si="35"/>
        <v>-55192.66</v>
      </c>
      <c r="E71" s="194">
        <f t="shared" si="27"/>
        <v>-0.50529981355267573</v>
      </c>
      <c r="F71" s="230"/>
      <c r="G71" s="168">
        <f>'ADB Inc. Statement'!G71+'ANT Inc Statement'!G71+'ACC Inc Statement'!G71+'PUC Inc. Statement'!G71+'AASPA Inc. Statement'!G71+'AFSC Inc. Statement'!G71+'PSPF Inc. Statement'!G71+'ATB Inc. Statement'!G71+'ASSB Inc. Statement'!G71</f>
        <v>108738.054376</v>
      </c>
      <c r="H71" s="165">
        <f>'ADB Inc. Statement'!H71+'ANT Inc Statement'!H71+'ACC Inc Statement'!H71+'PUC Inc. Statement'!H71+'AASPA Inc. Statement'!H71+'AFSC Inc. Statement'!H71+'PSPF Inc. Statement'!H71+'ATB Inc. Statement'!H71+'ASSB Inc. Statement'!H71</f>
        <v>52829.124375999992</v>
      </c>
      <c r="I71" s="193">
        <f t="shared" si="36"/>
        <v>-55908.930000000008</v>
      </c>
      <c r="J71" s="195">
        <f t="shared" si="28"/>
        <v>-0.51416158143381208</v>
      </c>
      <c r="K71" s="230"/>
      <c r="L71" s="165">
        <f>'ADB Inc. Statement'!L71+'ANT Inc Statement'!L71+'ACC Inc Statement'!L71+'PUC Inc. Statement'!L71+'AASPA Inc. Statement'!L71+'AFSC Inc. Statement'!L71+'PSPF Inc. Statement'!L71+'ATB Inc. Statement'!L71+'ASSB Inc. Statement'!L71</f>
        <v>108233.112888</v>
      </c>
      <c r="M71" s="165">
        <f>'ADB Inc. Statement'!M71+'ANT Inc Statement'!M71+'ACC Inc Statement'!M71+'PUC Inc. Statement'!M71+'AASPA Inc. Statement'!M71+'AFSC Inc. Statement'!M71+'PSPF Inc. Statement'!M71+'ATB Inc. Statement'!M71+'ASSB Inc. Statement'!M71</f>
        <v>53469.196307999991</v>
      </c>
      <c r="N71" s="193">
        <f t="shared" si="37"/>
        <v>-54763.916580000012</v>
      </c>
      <c r="O71" s="196">
        <f t="shared" si="29"/>
        <v>-0.50598116527120407</v>
      </c>
      <c r="P71" s="230"/>
      <c r="Q71" s="165">
        <f>'ADB Inc. Statement'!Q71+'ANT Inc Statement'!Q71+'ACC Inc Statement'!Q71+'PUC Inc. Statement'!Q71+'AASPA Inc. Statement'!Q71+'AFSC Inc. Statement'!Q71+'PSPF Inc. Statement'!Q71+'ATB Inc. Statement'!Q71+'ASSB Inc. Statement'!Q71</f>
        <v>107736.810522</v>
      </c>
      <c r="R71" s="165">
        <f>'ADB Inc. Statement'!R71+'ANT Inc Statement'!R71+'ACC Inc Statement'!R71+'PUC Inc. Statement'!R71+'AASPA Inc. Statement'!R71+'AFSC Inc. Statement'!R71+'PSPF Inc. Statement'!R71+'ATB Inc. Statement'!R71+'ASSB Inc. Statement'!R71</f>
        <v>64645.151702000003</v>
      </c>
      <c r="S71" s="193">
        <f t="shared" si="38"/>
        <v>-43091.658819999997</v>
      </c>
      <c r="T71" s="1212">
        <f t="shared" si="30"/>
        <v>-0.39997154743318325</v>
      </c>
      <c r="U71" s="785"/>
      <c r="V71" s="198">
        <f t="shared" si="40"/>
        <v>433935.52649999998</v>
      </c>
      <c r="W71" s="193">
        <f t="shared" si="41"/>
        <v>224978.36109999998</v>
      </c>
      <c r="X71" s="193">
        <f t="shared" si="39"/>
        <v>-208957.1654</v>
      </c>
      <c r="Y71" s="196">
        <f t="shared" si="32"/>
        <v>-0.48153965886450645</v>
      </c>
      <c r="Z71" s="231"/>
      <c r="AA71" s="168">
        <f>'ADB Inc. Statement'!AA71+'ANT Inc Statement'!AA71+'ACC Inc Statement'!AA71+'PUC Inc. Statement'!AA71+'AASPA Inc. Statement'!AA71+'AFSC Inc. Statement'!AA71+'PSPF Inc. Statement'!AA71+'ATB Inc. Statement'!AA71+'ASSB Inc. Statement'!AA71</f>
        <v>275359.95259999996</v>
      </c>
      <c r="AB71" s="193">
        <f t="shared" si="33"/>
        <v>50381.59149999998</v>
      </c>
      <c r="AC71" s="196">
        <f t="shared" si="34"/>
        <v>0.18296629929039285</v>
      </c>
      <c r="AD71" s="230"/>
      <c r="AE71" s="1179"/>
    </row>
    <row r="72" spans="1:31" x14ac:dyDescent="0.3">
      <c r="A72" s="170" t="s">
        <v>99</v>
      </c>
      <c r="B72" s="168">
        <f>'ADB Inc. Statement'!B72+'ATB Inc. Statement'!B72+'AASPA Inc. Statement'!B72+'ACC Inc Statement'!B72+'ANT Inc Statement'!B72+'PSPF Inc. Statement'!B72+'AFSC Inc. Statement'!B72+'PUC Inc. Statement'!B72+'ASSB Inc. Statement'!B72</f>
        <v>228060.96</v>
      </c>
      <c r="C72" s="165">
        <f>'ADB Inc. Statement'!C72+'ANT Inc Statement'!C72+'ACC Inc Statement'!C72+'PUC Inc. Statement'!C72+'AASPA Inc. Statement'!C72+'AFSC Inc. Statement'!C72+'PSPF Inc. Statement'!C72+'ATB Inc. Statement'!C72+'ASSB Inc. Statement'!C72</f>
        <v>140152.94641400001</v>
      </c>
      <c r="D72" s="193">
        <f t="shared" si="35"/>
        <v>-87908.013585999986</v>
      </c>
      <c r="E72" s="194">
        <f t="shared" si="27"/>
        <v>-0.38545840369171464</v>
      </c>
      <c r="F72" s="171"/>
      <c r="G72" s="168">
        <f>'ADB Inc. Statement'!G72+'ANT Inc Statement'!G72+'ACC Inc Statement'!G72+'PUC Inc. Statement'!G72+'AASPA Inc. Statement'!G72+'AFSC Inc. Statement'!G72+'PSPF Inc. Statement'!G72+'ATB Inc. Statement'!G72+'ASSB Inc. Statement'!G72</f>
        <v>182235.962</v>
      </c>
      <c r="H72" s="165">
        <f>'ADB Inc. Statement'!H72+'ANT Inc Statement'!H72+'ACC Inc Statement'!H72+'PUC Inc. Statement'!H72+'AASPA Inc. Statement'!H72+'AFSC Inc. Statement'!H72+'PSPF Inc. Statement'!H72+'ATB Inc. Statement'!H72+'ASSB Inc. Statement'!H72</f>
        <v>129285.83136199998</v>
      </c>
      <c r="I72" s="193">
        <f t="shared" si="36"/>
        <v>-52950.130638000017</v>
      </c>
      <c r="J72" s="195">
        <f t="shared" si="28"/>
        <v>-0.29055807677520873</v>
      </c>
      <c r="K72" s="171"/>
      <c r="L72" s="165">
        <f>'ADB Inc. Statement'!L72+'ANT Inc Statement'!L72+'ACC Inc Statement'!L72+'PUC Inc. Statement'!L72+'AASPA Inc. Statement'!L72+'AFSC Inc. Statement'!L72+'PSPF Inc. Statement'!L72+'ATB Inc. Statement'!L72+'ASSB Inc. Statement'!L72</f>
        <v>172915.25</v>
      </c>
      <c r="M72" s="165">
        <f>'ADB Inc. Statement'!M72+'ANT Inc Statement'!M72+'ACC Inc Statement'!M72+'PUC Inc. Statement'!M72+'AASPA Inc. Statement'!M72+'AFSC Inc. Statement'!M72+'PSPF Inc. Statement'!M72+'ATB Inc. Statement'!M72+'ASSB Inc. Statement'!M72</f>
        <v>182666.55000000002</v>
      </c>
      <c r="N72" s="193">
        <f t="shared" si="37"/>
        <v>9751.3000000000175</v>
      </c>
      <c r="O72" s="196">
        <f t="shared" si="29"/>
        <v>5.6393522260182474E-2</v>
      </c>
      <c r="P72" s="171"/>
      <c r="Q72" s="165">
        <f>'ADB Inc. Statement'!Q72+'ANT Inc Statement'!Q72+'ACC Inc Statement'!Q72+'PUC Inc. Statement'!Q72+'AASPA Inc. Statement'!Q72+'AFSC Inc. Statement'!Q72+'PSPF Inc. Statement'!Q72+'ATB Inc. Statement'!Q72+'ASSB Inc. Statement'!Q72</f>
        <v>211291.989822</v>
      </c>
      <c r="R72" s="165">
        <f>'ADB Inc. Statement'!R72+'ANT Inc Statement'!R72+'ACC Inc Statement'!R72+'PUC Inc. Statement'!R72+'AASPA Inc. Statement'!R72+'AFSC Inc. Statement'!R72+'PSPF Inc. Statement'!R72+'ATB Inc. Statement'!R72+'ASSB Inc. Statement'!R72</f>
        <v>188141.348424</v>
      </c>
      <c r="S72" s="193">
        <f t="shared" si="38"/>
        <v>-23150.641398000007</v>
      </c>
      <c r="T72" s="1212">
        <f t="shared" si="30"/>
        <v>-0.1095670565528913</v>
      </c>
      <c r="U72" s="783"/>
      <c r="V72" s="198">
        <f t="shared" si="40"/>
        <v>794504.16182200005</v>
      </c>
      <c r="W72" s="193">
        <f t="shared" si="41"/>
        <v>640246.67619999999</v>
      </c>
      <c r="X72" s="193">
        <f t="shared" si="39"/>
        <v>-154257.48562200007</v>
      </c>
      <c r="Y72" s="196">
        <f t="shared" si="32"/>
        <v>-0.19415566718775698</v>
      </c>
      <c r="Z72" s="169"/>
      <c r="AA72" s="168">
        <f>'ADB Inc. Statement'!AA72+'ANT Inc Statement'!AA72+'ACC Inc Statement'!AA72+'PUC Inc. Statement'!AA72+'AASPA Inc. Statement'!AA72+'AFSC Inc. Statement'!AA72+'PSPF Inc. Statement'!AA72+'ATB Inc. Statement'!AA72+'ASSB Inc. Statement'!AA72</f>
        <v>913829.81182199996</v>
      </c>
      <c r="AB72" s="193">
        <f t="shared" si="33"/>
        <v>273583.13562199997</v>
      </c>
      <c r="AC72" s="196">
        <f t="shared" si="34"/>
        <v>0.29938083884189343</v>
      </c>
      <c r="AD72" s="171"/>
      <c r="AE72" s="1179"/>
    </row>
    <row r="73" spans="1:31" x14ac:dyDescent="0.3">
      <c r="A73" s="170" t="s">
        <v>100</v>
      </c>
      <c r="B73" s="168">
        <f>'ADB Inc. Statement'!B73+'ATB Inc. Statement'!B73+'AASPA Inc. Statement'!B73+'ACC Inc Statement'!B73+'ANT Inc Statement'!B73+'PSPF Inc. Statement'!B73+'AFSC Inc. Statement'!B73+'PUC Inc. Statement'!B73+'ASSB Inc. Statement'!B73</f>
        <v>32051.5</v>
      </c>
      <c r="C73" s="165">
        <f>'ADB Inc. Statement'!C73+'ANT Inc Statement'!C73+'ACC Inc Statement'!C73+'PUC Inc. Statement'!C73+'AASPA Inc. Statement'!C73+'AFSC Inc. Statement'!C73+'PSPF Inc. Statement'!C73+'ATB Inc. Statement'!C73+'ASSB Inc. Statement'!C73</f>
        <v>7917.0699999999988</v>
      </c>
      <c r="D73" s="193">
        <f t="shared" si="35"/>
        <v>-24134.43</v>
      </c>
      <c r="E73" s="194">
        <f t="shared" si="27"/>
        <v>-0.7529890956741494</v>
      </c>
      <c r="F73" s="230"/>
      <c r="G73" s="168">
        <f>'ADB Inc. Statement'!G73+'ANT Inc Statement'!G73+'ACC Inc Statement'!G73+'PUC Inc. Statement'!G73+'AASPA Inc. Statement'!G73+'AFSC Inc. Statement'!G73+'PSPF Inc. Statement'!G73+'ATB Inc. Statement'!G73+'ASSB Inc. Statement'!G73</f>
        <v>50270.17</v>
      </c>
      <c r="H73" s="165">
        <f>'ADB Inc. Statement'!H73+'ANT Inc Statement'!H73+'ACC Inc Statement'!H73+'PUC Inc. Statement'!H73+'AASPA Inc. Statement'!H73+'AFSC Inc. Statement'!H73+'PSPF Inc. Statement'!H73+'ATB Inc. Statement'!H73+'ASSB Inc. Statement'!H73</f>
        <v>15522.849999999999</v>
      </c>
      <c r="I73" s="193">
        <f t="shared" si="36"/>
        <v>-34747.32</v>
      </c>
      <c r="J73" s="195">
        <f t="shared" si="28"/>
        <v>-0.69121150773908269</v>
      </c>
      <c r="K73" s="230"/>
      <c r="L73" s="165">
        <f>'ADB Inc. Statement'!L73+'ANT Inc Statement'!L73+'ACC Inc Statement'!L73+'PUC Inc. Statement'!L73+'AASPA Inc. Statement'!L73+'AFSC Inc. Statement'!L73+'PSPF Inc. Statement'!L73+'ATB Inc. Statement'!L73+'ASSB Inc. Statement'!L73</f>
        <v>53374.58</v>
      </c>
      <c r="M73" s="165">
        <f>'ADB Inc. Statement'!M73+'ANT Inc Statement'!M73+'ACC Inc Statement'!M73+'PUC Inc. Statement'!M73+'AASPA Inc. Statement'!M73+'AFSC Inc. Statement'!M73+'PSPF Inc. Statement'!M73+'ATB Inc. Statement'!M73+'ASSB Inc. Statement'!M73</f>
        <v>51047.77</v>
      </c>
      <c r="N73" s="193">
        <f t="shared" si="37"/>
        <v>-2326.8100000000049</v>
      </c>
      <c r="O73" s="196">
        <f t="shared" si="29"/>
        <v>-4.3593973011122618E-2</v>
      </c>
      <c r="P73" s="230"/>
      <c r="Q73" s="165">
        <f>'ADB Inc. Statement'!Q73+'ANT Inc Statement'!Q73+'ACC Inc Statement'!Q73+'PUC Inc. Statement'!Q73+'AASPA Inc. Statement'!Q73+'AFSC Inc. Statement'!Q73+'PSPF Inc. Statement'!Q73+'ATB Inc. Statement'!Q73+'ASSB Inc. Statement'!Q73</f>
        <v>53802.750000000007</v>
      </c>
      <c r="R73" s="165">
        <f>'ADB Inc. Statement'!R73+'ANT Inc Statement'!R73+'ACC Inc Statement'!R73+'PUC Inc. Statement'!R73+'AASPA Inc. Statement'!R73+'AFSC Inc. Statement'!R73+'PSPF Inc. Statement'!R73+'ATB Inc. Statement'!R73+'ASSB Inc. Statement'!R73</f>
        <v>2391.5900000000056</v>
      </c>
      <c r="S73" s="193">
        <f t="shared" si="38"/>
        <v>-51411.16</v>
      </c>
      <c r="T73" s="1212">
        <f t="shared" si="30"/>
        <v>-0.95554892640246081</v>
      </c>
      <c r="U73" s="785"/>
      <c r="V73" s="198">
        <f t="shared" si="40"/>
        <v>189499</v>
      </c>
      <c r="W73" s="193">
        <f t="shared" si="41"/>
        <v>76879.280000000013</v>
      </c>
      <c r="X73" s="193">
        <f t="shared" si="39"/>
        <v>-112619.71999999999</v>
      </c>
      <c r="Y73" s="196">
        <f t="shared" si="32"/>
        <v>-0.59430245014485561</v>
      </c>
      <c r="Z73" s="231"/>
      <c r="AA73" s="168">
        <f>'ADB Inc. Statement'!AA73+'ANT Inc Statement'!AA73+'ACC Inc Statement'!AA73+'PUC Inc. Statement'!AA73+'AASPA Inc. Statement'!AA73+'AFSC Inc. Statement'!AA73+'PSPF Inc. Statement'!AA73+'ATB Inc. Statement'!AA73+'ASSB Inc. Statement'!AA73</f>
        <v>189000</v>
      </c>
      <c r="AB73" s="193">
        <f t="shared" si="33"/>
        <v>112120.71999999999</v>
      </c>
      <c r="AC73" s="196">
        <f t="shared" si="34"/>
        <v>0.59323132275132273</v>
      </c>
      <c r="AD73" s="230"/>
      <c r="AE73" s="1178"/>
    </row>
    <row r="74" spans="1:31" x14ac:dyDescent="0.3">
      <c r="A74" s="248" t="s">
        <v>101</v>
      </c>
      <c r="B74" s="168">
        <f>'ADB Inc. Statement'!B74+'ATB Inc. Statement'!B74+'AASPA Inc. Statement'!B74+'ACC Inc Statement'!B74+'ANT Inc Statement'!B74+'PSPF Inc. Statement'!B74+'AFSC Inc. Statement'!B74+'PUC Inc. Statement'!B74+'ASSB Inc. Statement'!B74</f>
        <v>491941.55999999994</v>
      </c>
      <c r="C74" s="165">
        <f>'ADB Inc. Statement'!C74+'ANT Inc Statement'!C74+'ACC Inc Statement'!C74+'PUC Inc. Statement'!C74+'AASPA Inc. Statement'!C74+'AFSC Inc. Statement'!C74+'PSPF Inc. Statement'!C74+'ATB Inc. Statement'!C74+'ASSB Inc. Statement'!C74</f>
        <v>416964.54616200004</v>
      </c>
      <c r="D74" s="193">
        <f t="shared" si="35"/>
        <v>-74977.013837999897</v>
      </c>
      <c r="E74" s="194">
        <f t="shared" si="27"/>
        <v>-0.15241040793138091</v>
      </c>
      <c r="F74" s="171"/>
      <c r="G74" s="168">
        <f>'ADB Inc. Statement'!G74+'ANT Inc Statement'!G74+'ACC Inc Statement'!G74+'PUC Inc. Statement'!G74+'AASPA Inc. Statement'!G74+'AFSC Inc. Statement'!G74+'PSPF Inc. Statement'!G74+'ATB Inc. Statement'!G74+'ASSB Inc. Statement'!G74</f>
        <v>528430.38</v>
      </c>
      <c r="H74" s="165">
        <f>'ADB Inc. Statement'!H74+'ANT Inc Statement'!H74+'ACC Inc Statement'!H74+'PUC Inc. Statement'!H74+'AASPA Inc. Statement'!H74+'AFSC Inc. Statement'!H74+'PSPF Inc. Statement'!H74+'ATB Inc. Statement'!H74+'ASSB Inc. Statement'!H74</f>
        <v>434392.72828200005</v>
      </c>
      <c r="I74" s="193">
        <f t="shared" si="36"/>
        <v>-94037.65171799995</v>
      </c>
      <c r="J74" s="195">
        <f t="shared" si="28"/>
        <v>-0.17795655828493423</v>
      </c>
      <c r="K74" s="171"/>
      <c r="L74" s="165">
        <f>'ADB Inc. Statement'!L74+'ANT Inc Statement'!L74+'ACC Inc Statement'!L74+'PUC Inc. Statement'!L74+'AASPA Inc. Statement'!L74+'AFSC Inc. Statement'!L74+'PSPF Inc. Statement'!L74+'ATB Inc. Statement'!L74+'ASSB Inc. Statement'!L74</f>
        <v>598375.27</v>
      </c>
      <c r="M74" s="165">
        <f>'ADB Inc. Statement'!M74+'ANT Inc Statement'!M74+'ACC Inc Statement'!M74+'PUC Inc. Statement'!M74+'AASPA Inc. Statement'!M74+'AFSC Inc. Statement'!M74+'PSPF Inc. Statement'!M74+'ATB Inc. Statement'!M74+'ASSB Inc. Statement'!M74</f>
        <v>510891.93704999995</v>
      </c>
      <c r="N74" s="193">
        <f t="shared" si="37"/>
        <v>-87483.332950000069</v>
      </c>
      <c r="O74" s="196">
        <f t="shared" si="29"/>
        <v>-0.14620145139019544</v>
      </c>
      <c r="P74" s="171"/>
      <c r="Q74" s="165">
        <f>'ADB Inc. Statement'!Q74+'ANT Inc Statement'!Q74+'ACC Inc Statement'!Q74+'PUC Inc. Statement'!Q74+'AASPA Inc. Statement'!Q74+'AFSC Inc. Statement'!Q74+'PSPF Inc. Statement'!Q74+'ATB Inc. Statement'!Q74+'ASSB Inc. Statement'!Q74</f>
        <v>459318.3299999999</v>
      </c>
      <c r="R74" s="165">
        <f>'ADB Inc. Statement'!R74+'ANT Inc Statement'!R74+'ACC Inc Statement'!R74+'PUC Inc. Statement'!R74+'AASPA Inc. Statement'!R74+'AFSC Inc. Statement'!R74+'PSPF Inc. Statement'!R74+'ATB Inc. Statement'!R74+'ASSB Inc. Statement'!R74</f>
        <v>528385.73804400011</v>
      </c>
      <c r="S74" s="193">
        <f t="shared" si="38"/>
        <v>69067.408044000214</v>
      </c>
      <c r="T74" s="1212">
        <f t="shared" si="30"/>
        <v>0.15036937028835803</v>
      </c>
      <c r="U74" s="783"/>
      <c r="V74" s="198">
        <f t="shared" si="40"/>
        <v>2078065.5399999998</v>
      </c>
      <c r="W74" s="193">
        <f t="shared" si="41"/>
        <v>1890634.9495380004</v>
      </c>
      <c r="X74" s="193">
        <f t="shared" si="39"/>
        <v>-187430.59046199941</v>
      </c>
      <c r="Y74" s="196">
        <f t="shared" si="32"/>
        <v>-9.0194744513206943E-2</v>
      </c>
      <c r="Z74" s="169"/>
      <c r="AA74" s="168">
        <f>'ADB Inc. Statement'!AA74+'ANT Inc Statement'!AA74+'ACC Inc Statement'!AA74+'PUC Inc. Statement'!AA74+'AASPA Inc. Statement'!AA74+'AFSC Inc. Statement'!AA74+'PSPF Inc. Statement'!AA74+'ATB Inc. Statement'!AA74+'ASSB Inc. Statement'!AA74</f>
        <v>2144315.48</v>
      </c>
      <c r="AB74" s="193">
        <f t="shared" si="33"/>
        <v>253680.53046199959</v>
      </c>
      <c r="AC74" s="196">
        <f t="shared" si="34"/>
        <v>0.11830373507446749</v>
      </c>
      <c r="AD74" s="171"/>
      <c r="AE74" s="1178"/>
    </row>
    <row r="75" spans="1:31" x14ac:dyDescent="0.3">
      <c r="A75" s="249" t="s">
        <v>120</v>
      </c>
      <c r="B75" s="168">
        <f>'ADB Inc. Statement'!B75+'ATB Inc. Statement'!B75+'AASPA Inc. Statement'!B75+'ACC Inc Statement'!B75+'ANT Inc Statement'!B75+'PSPF Inc. Statement'!B75+'AFSC Inc. Statement'!B75+'PUC Inc. Statement'!B75+'ASSB Inc. Statement'!B75</f>
        <v>0</v>
      </c>
      <c r="C75" s="165">
        <f>'ADB Inc. Statement'!C75+'ANT Inc Statement'!C75+'ACC Inc Statement'!C75+'PUC Inc. Statement'!C75+'AASPA Inc. Statement'!C75+'AFSC Inc. Statement'!C75+'PSPF Inc. Statement'!C75+'ATB Inc. Statement'!C75+'ASSB Inc. Statement'!C75</f>
        <v>0</v>
      </c>
      <c r="D75" s="193">
        <f t="shared" si="35"/>
        <v>0</v>
      </c>
      <c r="E75" s="194" t="str">
        <f t="shared" si="27"/>
        <v>-</v>
      </c>
      <c r="F75" s="171"/>
      <c r="G75" s="168">
        <f>'ADB Inc. Statement'!G75+'ANT Inc Statement'!G75+'ACC Inc Statement'!G75+'PUC Inc. Statement'!G75+'AASPA Inc. Statement'!G75+'AFSC Inc. Statement'!G75+'PSPF Inc. Statement'!G75+'ATB Inc. Statement'!G75+'ASSB Inc. Statement'!G75</f>
        <v>0</v>
      </c>
      <c r="H75" s="165">
        <f>'ADB Inc. Statement'!H75+'ANT Inc Statement'!H75+'ACC Inc Statement'!H75+'PUC Inc. Statement'!H75+'AASPA Inc. Statement'!H75+'AFSC Inc. Statement'!H75+'PSPF Inc. Statement'!H75+'ATB Inc. Statement'!H75+'ASSB Inc. Statement'!H75</f>
        <v>4637.96</v>
      </c>
      <c r="I75" s="193">
        <f t="shared" si="36"/>
        <v>4637.96</v>
      </c>
      <c r="J75" s="195" t="str">
        <f t="shared" si="28"/>
        <v>-</v>
      </c>
      <c r="K75" s="171"/>
      <c r="L75" s="165">
        <f>'ADB Inc. Statement'!L75+'ANT Inc Statement'!L75+'ACC Inc Statement'!L75+'PUC Inc. Statement'!L75+'AASPA Inc. Statement'!L75+'AFSC Inc. Statement'!L75+'PSPF Inc. Statement'!L75+'ATB Inc. Statement'!L75+'ASSB Inc. Statement'!L75</f>
        <v>0</v>
      </c>
      <c r="M75" s="165">
        <f>'ADB Inc. Statement'!M75+'ANT Inc Statement'!M75+'ACC Inc Statement'!M75+'PUC Inc. Statement'!M75+'AASPA Inc. Statement'!M75+'AFSC Inc. Statement'!M75+'PSPF Inc. Statement'!M75+'ATB Inc. Statement'!M75+'ASSB Inc. Statement'!M75</f>
        <v>0</v>
      </c>
      <c r="N75" s="193">
        <f t="shared" si="37"/>
        <v>0</v>
      </c>
      <c r="O75" s="196" t="str">
        <f t="shared" si="29"/>
        <v>-</v>
      </c>
      <c r="P75" s="171"/>
      <c r="Q75" s="165">
        <f>'ADB Inc. Statement'!Q75+'ANT Inc Statement'!Q75+'ACC Inc Statement'!Q75+'PUC Inc. Statement'!Q75+'AASPA Inc. Statement'!Q75+'AFSC Inc. Statement'!Q75+'PSPF Inc. Statement'!Q75+'ATB Inc. Statement'!Q75+'ASSB Inc. Statement'!Q75</f>
        <v>0</v>
      </c>
      <c r="R75" s="165">
        <f>'ADB Inc. Statement'!R75+'ANT Inc Statement'!R75+'ACC Inc Statement'!R75+'PUC Inc. Statement'!R75+'AASPA Inc. Statement'!R75+'AFSC Inc. Statement'!R75+'PSPF Inc. Statement'!R75+'ATB Inc. Statement'!R75+'ASSB Inc. Statement'!R75</f>
        <v>0</v>
      </c>
      <c r="S75" s="193">
        <f t="shared" si="38"/>
        <v>0</v>
      </c>
      <c r="T75" s="1212" t="str">
        <f t="shared" si="30"/>
        <v>-</v>
      </c>
      <c r="U75" s="783"/>
      <c r="V75" s="198">
        <f t="shared" si="40"/>
        <v>0</v>
      </c>
      <c r="W75" s="193">
        <f t="shared" si="41"/>
        <v>4637.96</v>
      </c>
      <c r="X75" s="193">
        <f t="shared" si="39"/>
        <v>4637.96</v>
      </c>
      <c r="Y75" s="196" t="str">
        <f t="shared" si="32"/>
        <v>-</v>
      </c>
      <c r="Z75" s="169"/>
      <c r="AA75" s="168">
        <f>'ADB Inc. Statement'!AA75+'ANT Inc Statement'!AA75+'ACC Inc Statement'!AA75+'PUC Inc. Statement'!AA75+'AASPA Inc. Statement'!AA75+'AFSC Inc. Statement'!AA75+'PSPF Inc. Statement'!AA75+'ATB Inc. Statement'!AA75+'ASSB Inc. Statement'!AA75</f>
        <v>0</v>
      </c>
      <c r="AB75" s="193">
        <f t="shared" si="33"/>
        <v>-4637.96</v>
      </c>
      <c r="AC75" s="196" t="str">
        <f t="shared" si="34"/>
        <v>-</v>
      </c>
      <c r="AD75" s="171"/>
      <c r="AE75" s="1178"/>
    </row>
    <row r="76" spans="1:31" x14ac:dyDescent="0.3">
      <c r="A76" s="174" t="s">
        <v>102</v>
      </c>
      <c r="B76" s="209">
        <f>SUM(B44:B75)</f>
        <v>19604664.779212002</v>
      </c>
      <c r="C76" s="210">
        <f>SUM(C44:C75)</f>
        <v>18615005.590344004</v>
      </c>
      <c r="D76" s="210">
        <f>SUM(D44:D75)</f>
        <v>-989659.18886799912</v>
      </c>
      <c r="E76" s="211">
        <f t="shared" si="27"/>
        <v>-5.0480801381383167E-2</v>
      </c>
      <c r="F76" s="178"/>
      <c r="G76" s="209">
        <f>SUM(G44:G75)</f>
        <v>19570234.943993993</v>
      </c>
      <c r="H76" s="210">
        <f>SUM(H44:H75)</f>
        <v>17554034.141228002</v>
      </c>
      <c r="I76" s="210">
        <f>SUM(I44:I75)</f>
        <v>-2016200.8027660011</v>
      </c>
      <c r="J76" s="211">
        <f>IF(ISERROR(I76/G76),"-",I76/G76)</f>
        <v>-0.10302384251062673</v>
      </c>
      <c r="K76" s="178"/>
      <c r="L76" s="209">
        <f>SUM(L43:L75)</f>
        <v>19597977.945929993</v>
      </c>
      <c r="M76" s="210">
        <f>SUM(M43:M75)</f>
        <v>18449111.090119995</v>
      </c>
      <c r="N76" s="210">
        <f>SUM(N43:N75)</f>
        <v>-1148866.8558100001</v>
      </c>
      <c r="O76" s="211">
        <f>IF(ISERROR(N76/L76),"-",N76/L76)</f>
        <v>-5.8621703676760735E-2</v>
      </c>
      <c r="P76" s="178"/>
      <c r="Q76" s="209">
        <f>SUM(Q43:Q75)</f>
        <v>10439910.631994</v>
      </c>
      <c r="R76" s="210">
        <f>SUM(R43:R75)</f>
        <v>16305389.90504</v>
      </c>
      <c r="S76" s="210">
        <f>SUM(S43:S75)</f>
        <v>5865479.2730460009</v>
      </c>
      <c r="T76" s="1219">
        <f>IF(ISERROR(S76/Q76),"-",S76/Q76)</f>
        <v>0.56183232594642507</v>
      </c>
      <c r="U76" s="784"/>
      <c r="V76" s="209">
        <f>SUM(V44:V75)</f>
        <v>68883001.311130002</v>
      </c>
      <c r="W76" s="210">
        <f>SUM(W44:W75)</f>
        <v>70623681.176732004</v>
      </c>
      <c r="X76" s="210">
        <f>SUM(X44:X75)</f>
        <v>1740679.865602002</v>
      </c>
      <c r="Y76" s="211">
        <f t="shared" si="32"/>
        <v>2.5270093237368067E-2</v>
      </c>
      <c r="Z76" s="178"/>
      <c r="AA76" s="209">
        <f>SUM(AA43:AA75)</f>
        <v>88515267.991679341</v>
      </c>
      <c r="AB76" s="210">
        <f>SUM(AB43:AB75)</f>
        <v>17891586.814947341</v>
      </c>
      <c r="AC76" s="211">
        <f t="shared" si="34"/>
        <v>0.20212995137323875</v>
      </c>
      <c r="AD76" s="178"/>
      <c r="AE76" s="1181"/>
    </row>
    <row r="77" spans="1:31" x14ac:dyDescent="0.3">
      <c r="A77" s="250"/>
      <c r="B77" s="251"/>
      <c r="C77" s="252"/>
      <c r="D77" s="252"/>
      <c r="E77" s="253"/>
      <c r="F77" s="160"/>
      <c r="G77" s="254"/>
      <c r="H77" s="255"/>
      <c r="I77" s="255"/>
      <c r="J77" s="256"/>
      <c r="K77" s="160"/>
      <c r="L77" s="251"/>
      <c r="M77" s="252"/>
      <c r="N77" s="252"/>
      <c r="O77" s="257"/>
      <c r="P77" s="160"/>
      <c r="Q77" s="254"/>
      <c r="R77" s="255"/>
      <c r="S77" s="255"/>
      <c r="T77" s="1220"/>
      <c r="U77" s="781"/>
      <c r="V77" s="259"/>
      <c r="W77" s="260"/>
      <c r="X77" s="252"/>
      <c r="Y77" s="257"/>
      <c r="Z77" s="160"/>
      <c r="AA77" s="259"/>
      <c r="AB77" s="252"/>
      <c r="AC77" s="257"/>
      <c r="AD77" s="160"/>
      <c r="AE77" s="1178"/>
    </row>
    <row r="78" spans="1:31" ht="19.5" thickBot="1" x14ac:dyDescent="0.35">
      <c r="A78" s="174" t="s">
        <v>103</v>
      </c>
      <c r="B78" s="209">
        <f>B41+B76</f>
        <v>27839314.935924001</v>
      </c>
      <c r="C78" s="210">
        <f>C41+C76</f>
        <v>25114144.241886005</v>
      </c>
      <c r="D78" s="210">
        <f>D41+D76</f>
        <v>-2725170.6940379995</v>
      </c>
      <c r="E78" s="211">
        <f>IF(ISERROR(D78/B78),"-",D78/B78)</f>
        <v>-9.7889287157760643E-2</v>
      </c>
      <c r="F78" s="230"/>
      <c r="G78" s="209">
        <f>G41+G76</f>
        <v>27925523.973329991</v>
      </c>
      <c r="H78" s="210">
        <f>H41+H76</f>
        <v>24162228.320980001</v>
      </c>
      <c r="I78" s="210">
        <f>I41+I76</f>
        <v>-3763295.6523500001</v>
      </c>
      <c r="J78" s="211">
        <f>IF(ISERROR(I78/G78),"-",I78/G78)</f>
        <v>-0.13476186358917025</v>
      </c>
      <c r="K78" s="230"/>
      <c r="L78" s="209">
        <f>L41+L76+L77</f>
        <v>27965359.494093992</v>
      </c>
      <c r="M78" s="210">
        <f>M41+M76+M77</f>
        <v>25035848.067155994</v>
      </c>
      <c r="N78" s="210">
        <f>N41+N76+N77</f>
        <v>-2929511.4269380001</v>
      </c>
      <c r="O78" s="211">
        <f>IF(ISERROR(N78/L78),"-",N78/L78)</f>
        <v>-0.10475500690619351</v>
      </c>
      <c r="P78" s="230"/>
      <c r="Q78" s="209">
        <f>Q41+Q76+Q77</f>
        <v>17067785.905025996</v>
      </c>
      <c r="R78" s="210">
        <f>R41+R76+R77</f>
        <v>23061463.254951999</v>
      </c>
      <c r="S78" s="210">
        <f>S41+S76+S77</f>
        <v>5993677.3499260005</v>
      </c>
      <c r="T78" s="1219">
        <f>IF(ISERROR(S78/Q78),"-",S78/Q78)</f>
        <v>0.35116900242819582</v>
      </c>
      <c r="U78" s="785"/>
      <c r="V78" s="209">
        <f>V41+V76</f>
        <v>100468197.31837401</v>
      </c>
      <c r="W78" s="210">
        <f>W41+W76</f>
        <v>97073824.334973991</v>
      </c>
      <c r="X78" s="210">
        <f>X41+X76</f>
        <v>-3394372.9833999979</v>
      </c>
      <c r="Y78" s="211">
        <f>IF(ISERROR(X78/V78),"-",X78/V78)</f>
        <v>-3.3785546809838321E-2</v>
      </c>
      <c r="Z78" s="230"/>
      <c r="AA78" s="209">
        <f>AA41+AA76+AA77</f>
        <v>121581557.02892335</v>
      </c>
      <c r="AB78" s="210">
        <f>AB41+AB76+AB77</f>
        <v>24507732.693949342</v>
      </c>
      <c r="AC78" s="211">
        <f>IF(ISERROR(AB78/AA78),"-",AB78/AA78)</f>
        <v>0.2015744270170774</v>
      </c>
      <c r="AD78" s="230"/>
      <c r="AE78" s="1181"/>
    </row>
    <row r="79" spans="1:31" ht="38.25" thickBot="1" x14ac:dyDescent="0.35">
      <c r="A79" s="261" t="s">
        <v>166</v>
      </c>
      <c r="B79" s="251">
        <f>B25-B78</f>
        <v>8985700.5223333016</v>
      </c>
      <c r="C79" s="251">
        <f>C25-C78</f>
        <v>11994358.626465991</v>
      </c>
      <c r="D79" s="251">
        <f>D25-D78</f>
        <v>3008658.1041326965</v>
      </c>
      <c r="E79" s="1160"/>
      <c r="F79" s="1208">
        <f>F25-F78</f>
        <v>0</v>
      </c>
      <c r="G79" s="251">
        <f>G25-G78</f>
        <v>6029294.8181883842</v>
      </c>
      <c r="H79" s="251">
        <f>H25-H78</f>
        <v>9659208.4945960008</v>
      </c>
      <c r="I79" s="251">
        <f>I25-I78</f>
        <v>3629913.6764076217</v>
      </c>
      <c r="J79" s="1160"/>
      <c r="K79" s="756">
        <f>K25-K78</f>
        <v>0</v>
      </c>
      <c r="L79" s="251">
        <f>L25-L78</f>
        <v>3479114.9086541086</v>
      </c>
      <c r="M79" s="251">
        <f>M25-M78</f>
        <v>13035250.168042004</v>
      </c>
      <c r="N79" s="251">
        <f>N25-N78</f>
        <v>9556135.2593878992</v>
      </c>
      <c r="O79" s="262"/>
      <c r="P79" s="262">
        <f>P25-P78</f>
        <v>0</v>
      </c>
      <c r="Q79" s="251">
        <f>Q25-Q78</f>
        <v>-299631.93747669458</v>
      </c>
      <c r="R79" s="251">
        <f>R25-R78</f>
        <v>-1459150.3427500054</v>
      </c>
      <c r="S79" s="251">
        <f>S25-S78</f>
        <v>-1159518.4052733034</v>
      </c>
      <c r="T79" s="727"/>
      <c r="U79" s="726">
        <f>U25-U78</f>
        <v>0</v>
      </c>
      <c r="V79" s="251">
        <f>V25-V78</f>
        <v>18524265.301699072</v>
      </c>
      <c r="W79" s="251">
        <f>W25-W78</f>
        <v>33529526.496354014</v>
      </c>
      <c r="X79" s="251">
        <f>X25-X78</f>
        <v>15005261.194654917</v>
      </c>
      <c r="Y79" s="726"/>
      <c r="Z79" s="1208">
        <f>Z25-Z78</f>
        <v>0</v>
      </c>
      <c r="AA79" s="251">
        <f>AA25-AA78</f>
        <v>15483291.313531861</v>
      </c>
      <c r="AB79" s="251">
        <f>AB25-AB78</f>
        <v>-18046235.182822134</v>
      </c>
      <c r="AC79" s="726"/>
      <c r="AD79" s="160"/>
      <c r="AE79" s="1178"/>
    </row>
    <row r="80" spans="1:31" ht="33" customHeight="1" thickBot="1" x14ac:dyDescent="0.35">
      <c r="A80" s="263" t="s">
        <v>167</v>
      </c>
      <c r="B80" s="251"/>
      <c r="C80" s="252"/>
      <c r="D80" s="252">
        <f>C80-B80</f>
        <v>0</v>
      </c>
      <c r="E80" s="253"/>
      <c r="F80" s="160"/>
      <c r="G80" s="254"/>
      <c r="H80" s="255"/>
      <c r="I80" s="252">
        <f>H80-G80</f>
        <v>0</v>
      </c>
      <c r="J80" s="256"/>
      <c r="K80" s="160"/>
      <c r="L80" s="251"/>
      <c r="M80" s="252"/>
      <c r="N80" s="252">
        <f>M80-L80</f>
        <v>0</v>
      </c>
      <c r="O80" s="257"/>
      <c r="P80" s="160"/>
      <c r="Q80" s="254"/>
      <c r="R80" s="255"/>
      <c r="S80" s="252">
        <f>R80-Q80</f>
        <v>0</v>
      </c>
      <c r="T80" s="1221"/>
      <c r="U80" s="781"/>
      <c r="V80" s="259"/>
      <c r="W80" s="260"/>
      <c r="X80" s="252"/>
      <c r="Y80" s="257"/>
      <c r="Z80" s="160"/>
      <c r="AA80" s="259"/>
      <c r="AB80" s="252"/>
      <c r="AC80" s="257"/>
      <c r="AD80" s="160"/>
      <c r="AE80" s="1178"/>
    </row>
    <row r="81" spans="1:31" ht="38.25" thickBot="1" x14ac:dyDescent="0.35">
      <c r="A81" s="265" t="s">
        <v>168</v>
      </c>
      <c r="B81" s="251">
        <f>B79-B80</f>
        <v>8985700.5223333016</v>
      </c>
      <c r="C81" s="251">
        <f>C79-C80</f>
        <v>11994358.626465991</v>
      </c>
      <c r="D81" s="251">
        <f>D79-D80</f>
        <v>3008658.1041326965</v>
      </c>
      <c r="E81" s="1160">
        <f>E79-E80</f>
        <v>0</v>
      </c>
      <c r="F81" s="1208">
        <f t="shared" ref="F81:AC81" si="42">F79-F80</f>
        <v>0</v>
      </c>
      <c r="G81" s="251">
        <f>G79-G80</f>
        <v>6029294.8181883842</v>
      </c>
      <c r="H81" s="251">
        <f>H79-H80</f>
        <v>9659208.4945960008</v>
      </c>
      <c r="I81" s="251">
        <f>I79-I80</f>
        <v>3629913.6764076217</v>
      </c>
      <c r="J81" s="1160">
        <f>J79-J80</f>
        <v>0</v>
      </c>
      <c r="K81" s="756">
        <f t="shared" si="42"/>
        <v>0</v>
      </c>
      <c r="L81" s="251">
        <f t="shared" si="42"/>
        <v>3479114.9086541086</v>
      </c>
      <c r="M81" s="251">
        <f t="shared" si="42"/>
        <v>13035250.168042004</v>
      </c>
      <c r="N81" s="251">
        <f t="shared" si="42"/>
        <v>9556135.2593878992</v>
      </c>
      <c r="O81" s="262">
        <f t="shared" si="42"/>
        <v>0</v>
      </c>
      <c r="P81" s="262">
        <f t="shared" si="42"/>
        <v>0</v>
      </c>
      <c r="Q81" s="251">
        <f t="shared" si="42"/>
        <v>-299631.93747669458</v>
      </c>
      <c r="R81" s="251">
        <f t="shared" si="42"/>
        <v>-1459150.3427500054</v>
      </c>
      <c r="S81" s="251">
        <f t="shared" si="42"/>
        <v>-1159518.4052733034</v>
      </c>
      <c r="T81" s="727">
        <f t="shared" si="42"/>
        <v>0</v>
      </c>
      <c r="U81" s="726">
        <f t="shared" si="42"/>
        <v>0</v>
      </c>
      <c r="V81" s="251">
        <f>V79-V80</f>
        <v>18524265.301699072</v>
      </c>
      <c r="W81" s="251">
        <f t="shared" si="42"/>
        <v>33529526.496354014</v>
      </c>
      <c r="X81" s="251">
        <f>X79-X80</f>
        <v>15005261.194654917</v>
      </c>
      <c r="Y81" s="726">
        <f t="shared" si="42"/>
        <v>0</v>
      </c>
      <c r="Z81" s="1208">
        <f t="shared" si="42"/>
        <v>0</v>
      </c>
      <c r="AA81" s="251">
        <f t="shared" si="42"/>
        <v>15483291.313531861</v>
      </c>
      <c r="AB81" s="251">
        <f>AB79-AB80</f>
        <v>-18046235.182822134</v>
      </c>
      <c r="AC81" s="726">
        <f t="shared" si="42"/>
        <v>0</v>
      </c>
      <c r="AD81" s="160"/>
      <c r="AE81" s="1178"/>
    </row>
    <row r="82" spans="1:31" ht="25.5" customHeight="1" x14ac:dyDescent="0.3">
      <c r="A82" s="158" t="s">
        <v>104</v>
      </c>
      <c r="B82" s="198"/>
      <c r="C82" s="193"/>
      <c r="D82" s="193">
        <f>B82-C82</f>
        <v>0</v>
      </c>
      <c r="E82" s="194" t="str">
        <f>IF(ISERROR(D82/B82),"-",D82/B82)</f>
        <v>-</v>
      </c>
      <c r="F82" s="230"/>
      <c r="G82" s="226"/>
      <c r="H82" s="227"/>
      <c r="I82" s="227">
        <f>G82-H82</f>
        <v>0</v>
      </c>
      <c r="J82" s="195" t="str">
        <f>IF(ISERROR(I82/G82),"-",I82/G82)</f>
        <v>-</v>
      </c>
      <c r="K82" s="230"/>
      <c r="L82" s="198"/>
      <c r="M82" s="193"/>
      <c r="N82" s="193">
        <f>L82-M82</f>
        <v>0</v>
      </c>
      <c r="O82" s="266" t="str">
        <f>IF(ISERROR(N82/L82),"-",N82/L82)</f>
        <v>-</v>
      </c>
      <c r="P82" s="230"/>
      <c r="Q82" s="226"/>
      <c r="R82" s="227"/>
      <c r="S82" s="227">
        <f>Q82-R82</f>
        <v>0</v>
      </c>
      <c r="T82" s="1222" t="str">
        <f>IF(ISERROR(S82/Q82),"-",S82/Q82)</f>
        <v>-</v>
      </c>
      <c r="U82" s="785"/>
      <c r="V82" s="198">
        <f>B82+G82+L82+Q82</f>
        <v>0</v>
      </c>
      <c r="W82" s="193">
        <f>C82+H82+M82+R82</f>
        <v>0</v>
      </c>
      <c r="X82" s="193">
        <f>V82-W82</f>
        <v>0</v>
      </c>
      <c r="Y82" s="266" t="str">
        <f>IF(ISERROR(X82/V82),"-",X82/V82)</f>
        <v>-</v>
      </c>
      <c r="Z82" s="230"/>
      <c r="AA82" s="198">
        <f>G82+L82+Q82+V82</f>
        <v>0</v>
      </c>
      <c r="AB82" s="193">
        <f>AA82-W82</f>
        <v>0</v>
      </c>
      <c r="AC82" s="266" t="str">
        <f>IF(ISERROR(AB82/AA82),"-",AB82/AA82)</f>
        <v>-</v>
      </c>
      <c r="AD82" s="230"/>
      <c r="AE82" s="1178"/>
    </row>
    <row r="83" spans="1:31" ht="29.25" customHeight="1" thickBot="1" x14ac:dyDescent="0.35">
      <c r="A83" s="268" t="s">
        <v>105</v>
      </c>
      <c r="B83" s="269">
        <f>B81-B82</f>
        <v>8985700.5223333016</v>
      </c>
      <c r="C83" s="269">
        <f>C81-C82</f>
        <v>11994358.626465991</v>
      </c>
      <c r="D83" s="270">
        <f>B83-C83</f>
        <v>-3008658.1041326895</v>
      </c>
      <c r="E83" s="271">
        <f>IF(ISERROR(D83/B83),"-",D83/B83)</f>
        <v>-0.334827328893823</v>
      </c>
      <c r="F83" s="272"/>
      <c r="G83" s="269">
        <f>G81-G82</f>
        <v>6029294.8181883842</v>
      </c>
      <c r="H83" s="269">
        <f>H81-H82</f>
        <v>9659208.4945960008</v>
      </c>
      <c r="I83" s="270">
        <f>G83-H83</f>
        <v>-3629913.6764076166</v>
      </c>
      <c r="J83" s="271">
        <f>IF(ISERROR(I83/G83),"-",I83/G83)</f>
        <v>-0.60204614069581908</v>
      </c>
      <c r="K83" s="272"/>
      <c r="L83" s="269">
        <f>L81-L82</f>
        <v>3479114.9086541086</v>
      </c>
      <c r="M83" s="269">
        <f>M81-M82</f>
        <v>13035250.168042004</v>
      </c>
      <c r="N83" s="270">
        <f>L83-M83</f>
        <v>-9556135.2593878955</v>
      </c>
      <c r="O83" s="271">
        <f>IF(ISERROR(N83/L83),"-",N83/L83)</f>
        <v>-2.7467144691362537</v>
      </c>
      <c r="P83" s="272"/>
      <c r="Q83" s="269">
        <f>Q81-Q82</f>
        <v>-299631.93747669458</v>
      </c>
      <c r="R83" s="269">
        <f>R81-R82</f>
        <v>-1459150.3427500054</v>
      </c>
      <c r="S83" s="270">
        <f>Q83-R83</f>
        <v>1159518.4052733108</v>
      </c>
      <c r="T83" s="1223">
        <f>IF(ISERROR(S83/Q83),"-",S83/Q83)</f>
        <v>-3.8698091232797851</v>
      </c>
      <c r="U83" s="799"/>
      <c r="V83" s="273">
        <f>V81-V82</f>
        <v>18524265.301699072</v>
      </c>
      <c r="W83" s="273">
        <f>W81-W82</f>
        <v>33529526.496354014</v>
      </c>
      <c r="X83" s="274">
        <f>V83-W83</f>
        <v>-15005261.194654942</v>
      </c>
      <c r="Y83" s="275">
        <f>IF(ISERROR(X83/V83),"-",X83/V83)</f>
        <v>-0.81003273005805188</v>
      </c>
      <c r="Z83" s="272"/>
      <c r="AA83" s="273">
        <f>AA81-AA82</f>
        <v>15483291.313531861</v>
      </c>
      <c r="AB83" s="273">
        <f>AB81-AB82</f>
        <v>-18046235.182822134</v>
      </c>
      <c r="AC83" s="275">
        <f>IF(ISERROR(AB83/AA83),"-",AB83/AA83)</f>
        <v>-1.1655296549933378</v>
      </c>
      <c r="AE83" s="1186"/>
    </row>
  </sheetData>
  <sheetProtection algorithmName="SHA-512" hashValue="fxMXikD7TKal66D4o41dsiiiLoR4wcVeX6fjPHpFI5G9sXLFtmuPOkMGA4EokUUXsi3Tt8zQrazc4Fu8qy7u8w==" saltValue="ThXzpmONPhbJyw823F5x8w==" spinCount="100000" sheet="1" objects="1" scenarios="1"/>
  <mergeCells count="19">
    <mergeCell ref="A7:H7"/>
    <mergeCell ref="A1:H1"/>
    <mergeCell ref="A3:H3"/>
    <mergeCell ref="A4:H4"/>
    <mergeCell ref="A5:H5"/>
    <mergeCell ref="A6:H6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pageMargins left="0.7" right="0.7" top="0.75" bottom="0.75" header="0.3" footer="0.3"/>
  <pageSetup paperSize="17" scale="43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  <pageSetUpPr fitToPage="1"/>
  </sheetPr>
  <dimension ref="A1:F72"/>
  <sheetViews>
    <sheetView zoomScale="70" zoomScaleNormal="70" workbookViewId="0">
      <selection activeCell="R37" sqref="R37"/>
    </sheetView>
  </sheetViews>
  <sheetFormatPr defaultColWidth="8.85546875" defaultRowHeight="15.75" customHeight="1" x14ac:dyDescent="0.3"/>
  <cols>
    <col min="1" max="1" width="54.5703125" style="46" customWidth="1"/>
    <col min="2" max="2" width="16.42578125" style="636" customWidth="1"/>
    <col min="3" max="3" width="16.85546875" style="636" customWidth="1"/>
    <col min="4" max="4" width="18.140625" style="636" customWidth="1"/>
    <col min="5" max="5" width="17" style="636" customWidth="1"/>
    <col min="6" max="6" width="17.42578125" style="636" customWidth="1"/>
    <col min="7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8.75" customHeight="1" x14ac:dyDescent="0.3">
      <c r="A2" s="47"/>
      <c r="B2" s="383"/>
      <c r="C2" s="383"/>
      <c r="D2" s="383"/>
      <c r="E2" s="383"/>
      <c r="F2" s="383"/>
    </row>
    <row r="3" spans="1:6" s="49" customFormat="1" ht="18.75" customHeight="1" x14ac:dyDescent="0.3">
      <c r="A3" s="1767" t="s">
        <v>183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628"/>
      <c r="C8" s="629"/>
      <c r="D8" s="628"/>
      <c r="E8" s="629"/>
      <c r="F8" s="628"/>
    </row>
    <row r="9" spans="1:6" ht="17.45" customHeight="1" x14ac:dyDescent="0.3">
      <c r="A9" s="284"/>
      <c r="B9" s="518" t="s">
        <v>160</v>
      </c>
      <c r="C9" s="519" t="s">
        <v>161</v>
      </c>
      <c r="D9" s="518" t="s">
        <v>162</v>
      </c>
      <c r="E9" s="519" t="s">
        <v>163</v>
      </c>
      <c r="F9" s="518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520" t="s">
        <v>107</v>
      </c>
      <c r="C11" s="521" t="s">
        <v>107</v>
      </c>
      <c r="D11" s="520" t="s">
        <v>107</v>
      </c>
      <c r="E11" s="521" t="s">
        <v>107</v>
      </c>
      <c r="F11" s="520" t="s">
        <v>107</v>
      </c>
    </row>
    <row r="12" spans="1:6" ht="15" customHeight="1" x14ac:dyDescent="0.3">
      <c r="A12" s="291" t="s">
        <v>4</v>
      </c>
      <c r="B12" s="630"/>
      <c r="C12" s="631"/>
      <c r="D12" s="630"/>
      <c r="E12" s="631"/>
      <c r="F12" s="710"/>
    </row>
    <row r="13" spans="1:6" ht="15" customHeight="1" x14ac:dyDescent="0.3">
      <c r="A13" s="294" t="s">
        <v>5</v>
      </c>
      <c r="B13" s="632"/>
      <c r="C13" s="633"/>
      <c r="D13" s="632"/>
      <c r="E13" s="633"/>
      <c r="F13" s="711"/>
    </row>
    <row r="14" spans="1:6" ht="15" customHeight="1" x14ac:dyDescent="0.3">
      <c r="A14" s="296" t="s">
        <v>6</v>
      </c>
      <c r="B14" s="802">
        <v>21854654.73</v>
      </c>
      <c r="C14" s="802">
        <v>15027988.93</v>
      </c>
      <c r="D14" s="802">
        <v>21915792.210000001</v>
      </c>
      <c r="E14" s="802">
        <v>15626094.34</v>
      </c>
      <c r="F14" s="584"/>
    </row>
    <row r="15" spans="1:6" ht="15" customHeight="1" x14ac:dyDescent="0.3">
      <c r="A15" s="297" t="s">
        <v>7</v>
      </c>
      <c r="B15" s="802">
        <v>3274970.59</v>
      </c>
      <c r="C15" s="802">
        <v>3459103.42</v>
      </c>
      <c r="D15" s="802">
        <v>3709246.24</v>
      </c>
      <c r="E15" s="802">
        <v>2982101.72</v>
      </c>
      <c r="F15" s="584"/>
    </row>
    <row r="16" spans="1:6" ht="15" customHeight="1" x14ac:dyDescent="0.3">
      <c r="A16" s="297" t="s">
        <v>8</v>
      </c>
      <c r="B16" s="802">
        <v>3509828.97</v>
      </c>
      <c r="C16" s="802">
        <v>3400222.05</v>
      </c>
      <c r="D16" s="802">
        <v>3412175.19</v>
      </c>
      <c r="E16" s="802">
        <v>3575089.06</v>
      </c>
      <c r="F16" s="584"/>
    </row>
    <row r="17" spans="1:6" ht="15" customHeight="1" x14ac:dyDescent="0.3">
      <c r="A17" s="297" t="s">
        <v>9</v>
      </c>
      <c r="B17" s="802">
        <v>383587.64</v>
      </c>
      <c r="C17" s="802">
        <v>77774.179999999993</v>
      </c>
      <c r="D17" s="802">
        <v>111356.8</v>
      </c>
      <c r="E17" s="802">
        <v>141379.70000000001</v>
      </c>
      <c r="F17" s="584"/>
    </row>
    <row r="18" spans="1:6" ht="15" customHeight="1" x14ac:dyDescent="0.3">
      <c r="A18" s="297" t="s">
        <v>10</v>
      </c>
      <c r="B18" s="802">
        <v>4586536.8099999996</v>
      </c>
      <c r="C18" s="802">
        <v>4276222.4800000004</v>
      </c>
      <c r="D18" s="802">
        <v>5391784.4900000002</v>
      </c>
      <c r="E18" s="802">
        <v>4993215.8499999996</v>
      </c>
      <c r="F18" s="584"/>
    </row>
    <row r="19" spans="1:6" ht="15" customHeight="1" x14ac:dyDescent="0.3">
      <c r="A19" s="298" t="s">
        <v>11</v>
      </c>
      <c r="B19" s="802">
        <v>158794.51999999999</v>
      </c>
      <c r="C19" s="802">
        <v>175248.86</v>
      </c>
      <c r="D19" s="802">
        <v>191430.77</v>
      </c>
      <c r="E19" s="802">
        <v>210723.51</v>
      </c>
      <c r="F19" s="993"/>
    </row>
    <row r="20" spans="1:6" ht="15" customHeight="1" x14ac:dyDescent="0.3">
      <c r="A20" s="299" t="s">
        <v>12</v>
      </c>
      <c r="B20" s="345">
        <f>SUM(B14:B19)</f>
        <v>33768373.260000005</v>
      </c>
      <c r="C20" s="345">
        <f>SUM(C14:C19)</f>
        <v>26416559.920000002</v>
      </c>
      <c r="D20" s="345">
        <f>SUM(D14:D19)</f>
        <v>34731785.70000001</v>
      </c>
      <c r="E20" s="345">
        <f>SUM(E14:E19)</f>
        <v>27528604.179999996</v>
      </c>
      <c r="F20" s="345">
        <f>SUM(F14:F19)</f>
        <v>0</v>
      </c>
    </row>
    <row r="21" spans="1:6" ht="15" customHeight="1" x14ac:dyDescent="0.3">
      <c r="A21" s="300"/>
      <c r="B21" s="634"/>
      <c r="C21" s="635"/>
      <c r="D21" s="634"/>
      <c r="E21" s="635"/>
      <c r="F21" s="712"/>
    </row>
    <row r="22" spans="1:6" ht="15" customHeight="1" x14ac:dyDescent="0.3">
      <c r="A22" s="301" t="s">
        <v>13</v>
      </c>
      <c r="B22" s="632"/>
      <c r="C22" s="633"/>
      <c r="D22" s="632"/>
      <c r="E22" s="633"/>
      <c r="F22" s="711"/>
    </row>
    <row r="23" spans="1:6" ht="15" customHeight="1" x14ac:dyDescent="0.3">
      <c r="A23" s="297" t="s">
        <v>14</v>
      </c>
      <c r="B23" s="802">
        <v>0</v>
      </c>
      <c r="C23" s="802">
        <v>0</v>
      </c>
      <c r="D23" s="802">
        <v>0</v>
      </c>
      <c r="E23" s="802">
        <v>0</v>
      </c>
      <c r="F23" s="584"/>
    </row>
    <row r="24" spans="1:6" ht="15" customHeight="1" x14ac:dyDescent="0.3">
      <c r="A24" s="297" t="s">
        <v>15</v>
      </c>
      <c r="B24" s="802">
        <v>22156540.079999998</v>
      </c>
      <c r="C24" s="802">
        <v>22115434.370000001</v>
      </c>
      <c r="D24" s="802">
        <v>22097956.489999998</v>
      </c>
      <c r="E24" s="802">
        <v>22068873.379999999</v>
      </c>
      <c r="F24" s="584"/>
    </row>
    <row r="25" spans="1:6" ht="15" customHeight="1" x14ac:dyDescent="0.3">
      <c r="A25" s="297" t="s">
        <v>16</v>
      </c>
      <c r="B25" s="802">
        <v>140067566.43000001</v>
      </c>
      <c r="C25" s="802">
        <v>151626117.75</v>
      </c>
      <c r="D25" s="802">
        <v>152828533.09999999</v>
      </c>
      <c r="E25" s="802">
        <v>173661888.61000001</v>
      </c>
      <c r="F25" s="584"/>
    </row>
    <row r="26" spans="1:6" ht="15" customHeight="1" x14ac:dyDescent="0.3">
      <c r="A26" s="297" t="s">
        <v>17</v>
      </c>
      <c r="B26" s="802">
        <v>25894823.530000001</v>
      </c>
      <c r="C26" s="802">
        <v>25949768.539999999</v>
      </c>
      <c r="D26" s="802">
        <v>26144602.030000001</v>
      </c>
      <c r="E26" s="802">
        <v>26221097.390000001</v>
      </c>
      <c r="F26" s="584"/>
    </row>
    <row r="27" spans="1:6" ht="15" customHeight="1" x14ac:dyDescent="0.3">
      <c r="A27" s="297" t="s">
        <v>119</v>
      </c>
      <c r="B27" s="802">
        <v>8161.34</v>
      </c>
      <c r="C27" s="802">
        <v>8590.9500000000007</v>
      </c>
      <c r="D27" s="802">
        <v>8340.9599999999991</v>
      </c>
      <c r="E27" s="802">
        <v>8559.3700000000008</v>
      </c>
      <c r="F27" s="584"/>
    </row>
    <row r="28" spans="1:6" ht="15" customHeight="1" x14ac:dyDescent="0.3">
      <c r="A28" s="297" t="s">
        <v>118</v>
      </c>
      <c r="B28" s="802">
        <v>172336764.83000001</v>
      </c>
      <c r="C28" s="802">
        <v>169661764.83000001</v>
      </c>
      <c r="D28" s="802">
        <v>166986764.83000001</v>
      </c>
      <c r="E28" s="802">
        <v>164311764.83000001</v>
      </c>
      <c r="F28" s="584"/>
    </row>
    <row r="29" spans="1:6" ht="15" customHeight="1" x14ac:dyDescent="0.3">
      <c r="A29" s="298" t="s">
        <v>18</v>
      </c>
      <c r="B29" s="802">
        <v>5443370.9299999997</v>
      </c>
      <c r="C29" s="802">
        <v>5443370.9299999997</v>
      </c>
      <c r="D29" s="802">
        <v>5443370.9299999997</v>
      </c>
      <c r="E29" s="802">
        <v>5443370.9299999997</v>
      </c>
      <c r="F29" s="993"/>
    </row>
    <row r="30" spans="1:6" ht="15" customHeight="1" x14ac:dyDescent="0.3">
      <c r="A30" s="299" t="s">
        <v>19</v>
      </c>
      <c r="B30" s="345">
        <f>SUM(B23:B29)</f>
        <v>365907227.14000005</v>
      </c>
      <c r="C30" s="345">
        <f>SUM(C23:C29)</f>
        <v>374805047.37</v>
      </c>
      <c r="D30" s="345">
        <f>SUM(D23:D29)</f>
        <v>373509568.34000003</v>
      </c>
      <c r="E30" s="345">
        <f>SUM(E23:E29)</f>
        <v>391715554.51000005</v>
      </c>
      <c r="F30" s="345">
        <f>SUM(F23:F29)</f>
        <v>0</v>
      </c>
    </row>
    <row r="31" spans="1:6" ht="15" customHeight="1" x14ac:dyDescent="0.3">
      <c r="A31" s="300"/>
      <c r="B31" s="634"/>
      <c r="C31" s="635"/>
      <c r="D31" s="634"/>
      <c r="E31" s="635"/>
      <c r="F31" s="712"/>
    </row>
    <row r="32" spans="1:6" ht="15" customHeight="1" x14ac:dyDescent="0.3">
      <c r="A32" s="301" t="s">
        <v>20</v>
      </c>
      <c r="B32" s="368"/>
      <c r="D32" s="368"/>
      <c r="F32" s="713"/>
    </row>
    <row r="33" spans="1:6" ht="15" customHeight="1" x14ac:dyDescent="0.3">
      <c r="A33" s="278" t="s">
        <v>21</v>
      </c>
      <c r="B33" s="802">
        <v>5946834.3700000001</v>
      </c>
      <c r="C33" s="802">
        <v>5946834.3700000001</v>
      </c>
      <c r="D33" s="802">
        <v>5960409.7800000003</v>
      </c>
      <c r="E33" s="802">
        <v>5962022.7000000002</v>
      </c>
      <c r="F33" s="802"/>
    </row>
    <row r="34" spans="1:6" ht="15" customHeight="1" x14ac:dyDescent="0.3">
      <c r="A34" s="278" t="s">
        <v>22</v>
      </c>
      <c r="B34" s="802">
        <v>454412.07</v>
      </c>
      <c r="C34" s="802">
        <v>454412.07</v>
      </c>
      <c r="D34" s="802">
        <v>459049.22</v>
      </c>
      <c r="E34" s="802">
        <v>459049.22</v>
      </c>
      <c r="F34" s="802"/>
    </row>
    <row r="35" spans="1:6" ht="15" customHeight="1" x14ac:dyDescent="0.3">
      <c r="A35" s="278" t="s">
        <v>23</v>
      </c>
      <c r="B35" s="802">
        <v>0</v>
      </c>
      <c r="C35" s="802">
        <v>0</v>
      </c>
      <c r="D35" s="802">
        <v>0</v>
      </c>
      <c r="E35" s="802">
        <v>0</v>
      </c>
      <c r="F35" s="802"/>
    </row>
    <row r="36" spans="1:6" ht="15" customHeight="1" x14ac:dyDescent="0.3">
      <c r="A36" s="278" t="s">
        <v>24</v>
      </c>
      <c r="B36" s="802">
        <v>69006.91</v>
      </c>
      <c r="C36" s="802">
        <v>78767.47</v>
      </c>
      <c r="D36" s="802">
        <v>115800.97</v>
      </c>
      <c r="E36" s="802">
        <v>116920.97</v>
      </c>
      <c r="F36" s="802"/>
    </row>
    <row r="37" spans="1:6" ht="15" customHeight="1" x14ac:dyDescent="0.3">
      <c r="A37" s="278" t="s">
        <v>25</v>
      </c>
      <c r="B37" s="802">
        <v>23978.36</v>
      </c>
      <c r="C37" s="802">
        <v>23978.36</v>
      </c>
      <c r="D37" s="802">
        <v>23978.36</v>
      </c>
      <c r="E37" s="802">
        <v>23978.36</v>
      </c>
      <c r="F37" s="802"/>
    </row>
    <row r="38" spans="1:6" ht="15" customHeight="1" x14ac:dyDescent="0.3">
      <c r="A38" s="279" t="s">
        <v>26</v>
      </c>
      <c r="B38" s="802">
        <v>2914947.49</v>
      </c>
      <c r="C38" s="802">
        <v>2914947.49</v>
      </c>
      <c r="D38" s="802">
        <v>2914947.49</v>
      </c>
      <c r="E38" s="802">
        <v>2914947.49</v>
      </c>
      <c r="F38" s="802"/>
    </row>
    <row r="39" spans="1:6" ht="15" customHeight="1" x14ac:dyDescent="0.3">
      <c r="A39" s="299" t="s">
        <v>27</v>
      </c>
      <c r="B39" s="345">
        <f>SUM(B33:B38)</f>
        <v>9409179.2000000011</v>
      </c>
      <c r="C39" s="345">
        <f>SUM(C33:C38)</f>
        <v>9418939.7600000016</v>
      </c>
      <c r="D39" s="345">
        <f>SUM(D33:D38)</f>
        <v>9474185.8200000003</v>
      </c>
      <c r="E39" s="345">
        <f>SUM(E33:E38)</f>
        <v>9476918.7400000002</v>
      </c>
      <c r="F39" s="345">
        <f>SUM(F33:F38)</f>
        <v>0</v>
      </c>
    </row>
    <row r="40" spans="1:6" ht="15" customHeight="1" x14ac:dyDescent="0.3">
      <c r="A40" s="302"/>
      <c r="B40" s="637"/>
      <c r="C40" s="638"/>
      <c r="D40" s="637"/>
      <c r="E40" s="638"/>
      <c r="F40" s="714"/>
    </row>
    <row r="41" spans="1:6" ht="15" customHeight="1" x14ac:dyDescent="0.3">
      <c r="A41" s="294" t="s">
        <v>28</v>
      </c>
      <c r="B41" s="802">
        <v>1389188.92</v>
      </c>
      <c r="C41" s="802">
        <v>1389188.92</v>
      </c>
      <c r="D41" s="802">
        <v>1418964.63</v>
      </c>
      <c r="E41" s="802">
        <v>1418964.63</v>
      </c>
      <c r="F41" s="802"/>
    </row>
    <row r="42" spans="1:6" ht="15" customHeight="1" x14ac:dyDescent="0.3">
      <c r="A42" s="303"/>
      <c r="B42" s="371"/>
      <c r="C42" s="640"/>
      <c r="D42" s="371"/>
      <c r="E42" s="640"/>
      <c r="F42" s="715"/>
    </row>
    <row r="43" spans="1:6" ht="15" customHeight="1" x14ac:dyDescent="0.3">
      <c r="A43" s="299" t="s">
        <v>29</v>
      </c>
      <c r="B43" s="345">
        <f>SUM(B20+B30+B39+B41)</f>
        <v>410473968.52000004</v>
      </c>
      <c r="C43" s="345">
        <f>SUM(C20+C30+C39+C41)</f>
        <v>412029735.97000003</v>
      </c>
      <c r="D43" s="345">
        <f>SUM(D20+D30+D39+D41)</f>
        <v>419134504.49000001</v>
      </c>
      <c r="E43" s="345">
        <f>SUM(E20+E30+E39+E41)</f>
        <v>430140042.06000006</v>
      </c>
      <c r="F43" s="345">
        <f>SUM(F20+F30+F39+F41)</f>
        <v>0</v>
      </c>
    </row>
    <row r="44" spans="1:6" ht="15" customHeight="1" x14ac:dyDescent="0.3">
      <c r="A44" s="304"/>
      <c r="B44" s="641"/>
      <c r="C44" s="642"/>
      <c r="D44" s="641"/>
      <c r="E44" s="642"/>
      <c r="F44" s="716"/>
    </row>
    <row r="45" spans="1:6" ht="15" customHeight="1" x14ac:dyDescent="0.3">
      <c r="A45" s="294" t="s">
        <v>30</v>
      </c>
      <c r="B45" s="368"/>
      <c r="D45" s="368"/>
      <c r="F45" s="713"/>
    </row>
    <row r="46" spans="1:6" ht="15" customHeight="1" x14ac:dyDescent="0.3">
      <c r="A46" s="305"/>
      <c r="B46" s="368"/>
      <c r="D46" s="368"/>
      <c r="F46" s="713"/>
    </row>
    <row r="47" spans="1:6" ht="15" customHeight="1" x14ac:dyDescent="0.3">
      <c r="A47" s="294" t="s">
        <v>31</v>
      </c>
      <c r="B47" s="632"/>
      <c r="C47" s="633"/>
      <c r="D47" s="632"/>
      <c r="E47" s="633"/>
      <c r="F47" s="711"/>
    </row>
    <row r="48" spans="1:6" ht="15" customHeight="1" x14ac:dyDescent="0.3">
      <c r="A48" s="278" t="s">
        <v>32</v>
      </c>
      <c r="B48" s="802">
        <v>5580745.0700000003</v>
      </c>
      <c r="C48" s="802">
        <v>3411373.71</v>
      </c>
      <c r="D48" s="802">
        <v>5805264.3300000001</v>
      </c>
      <c r="E48" s="802">
        <v>5701182.5099999998</v>
      </c>
      <c r="F48" s="802"/>
    </row>
    <row r="49" spans="1:6" ht="15" customHeight="1" x14ac:dyDescent="0.3">
      <c r="A49" s="306" t="s">
        <v>50</v>
      </c>
      <c r="B49" s="802">
        <v>0</v>
      </c>
      <c r="C49" s="802">
        <v>0</v>
      </c>
      <c r="D49" s="802">
        <v>0</v>
      </c>
      <c r="E49" s="802">
        <v>0</v>
      </c>
      <c r="F49" s="802"/>
    </row>
    <row r="50" spans="1:6" ht="15" customHeight="1" x14ac:dyDescent="0.3">
      <c r="A50" s="306" t="s">
        <v>164</v>
      </c>
      <c r="B50" s="802">
        <v>3747.57</v>
      </c>
      <c r="C50" s="802">
        <v>8552.59</v>
      </c>
      <c r="D50" s="802">
        <v>8434.1</v>
      </c>
      <c r="E50" s="802">
        <v>9023.81</v>
      </c>
      <c r="F50" s="802"/>
    </row>
    <row r="51" spans="1:6" ht="15" customHeight="1" x14ac:dyDescent="0.3">
      <c r="A51" s="306" t="s">
        <v>109</v>
      </c>
      <c r="B51" s="802">
        <v>0</v>
      </c>
      <c r="C51" s="802">
        <v>0</v>
      </c>
      <c r="D51" s="802">
        <v>0</v>
      </c>
      <c r="E51" s="802">
        <v>0</v>
      </c>
      <c r="F51" s="802"/>
    </row>
    <row r="52" spans="1:6" ht="15" customHeight="1" x14ac:dyDescent="0.3">
      <c r="A52" s="306" t="s">
        <v>33</v>
      </c>
      <c r="B52" s="802">
        <v>0</v>
      </c>
      <c r="C52" s="802">
        <v>0</v>
      </c>
      <c r="D52" s="802">
        <v>0</v>
      </c>
      <c r="E52" s="802">
        <v>0</v>
      </c>
      <c r="F52" s="802"/>
    </row>
    <row r="53" spans="1:6" ht="15" customHeight="1" x14ac:dyDescent="0.3">
      <c r="A53" s="306" t="s">
        <v>34</v>
      </c>
      <c r="B53" s="802">
        <v>0</v>
      </c>
      <c r="C53" s="802">
        <v>0</v>
      </c>
      <c r="D53" s="802">
        <v>0</v>
      </c>
      <c r="E53" s="802">
        <v>0</v>
      </c>
      <c r="F53" s="802"/>
    </row>
    <row r="54" spans="1:6" ht="15" customHeight="1" x14ac:dyDescent="0.3">
      <c r="A54" s="278" t="s">
        <v>35</v>
      </c>
      <c r="B54" s="802">
        <v>0</v>
      </c>
      <c r="C54" s="802">
        <v>0</v>
      </c>
      <c r="D54" s="802">
        <v>0</v>
      </c>
      <c r="E54" s="802">
        <v>0</v>
      </c>
      <c r="F54" s="802"/>
    </row>
    <row r="55" spans="1:6" ht="15" customHeight="1" x14ac:dyDescent="0.3">
      <c r="A55" s="278" t="s">
        <v>36</v>
      </c>
      <c r="B55" s="802">
        <v>0</v>
      </c>
      <c r="C55" s="802">
        <v>0</v>
      </c>
      <c r="D55" s="802">
        <v>0</v>
      </c>
      <c r="E55" s="802">
        <v>0</v>
      </c>
      <c r="F55" s="802"/>
    </row>
    <row r="56" spans="1:6" ht="15" customHeight="1" x14ac:dyDescent="0.3">
      <c r="A56" s="279" t="s">
        <v>37</v>
      </c>
      <c r="B56" s="802">
        <v>149902.81</v>
      </c>
      <c r="C56" s="802">
        <v>279288.74</v>
      </c>
      <c r="D56" s="802">
        <v>124591.83</v>
      </c>
      <c r="E56" s="802">
        <v>652740.52</v>
      </c>
      <c r="F56" s="802"/>
    </row>
    <row r="57" spans="1:6" ht="15" customHeight="1" x14ac:dyDescent="0.3">
      <c r="A57" s="299" t="s">
        <v>38</v>
      </c>
      <c r="B57" s="345">
        <f>SUM(B48:B56)</f>
        <v>5734395.4500000002</v>
      </c>
      <c r="C57" s="345">
        <f>SUM(C48:C56)</f>
        <v>3699215.04</v>
      </c>
      <c r="D57" s="345">
        <f>SUM(D48:D56)</f>
        <v>5938290.2599999998</v>
      </c>
      <c r="E57" s="345">
        <f>SUM(E48:E56)</f>
        <v>6362946.8399999999</v>
      </c>
      <c r="F57" s="345">
        <f>SUM(F48:F56)</f>
        <v>0</v>
      </c>
    </row>
    <row r="58" spans="1:6" ht="15" customHeight="1" x14ac:dyDescent="0.3">
      <c r="A58" s="307"/>
      <c r="B58" s="634"/>
      <c r="C58" s="635"/>
      <c r="D58" s="634"/>
      <c r="E58" s="635"/>
      <c r="F58" s="712"/>
    </row>
    <row r="59" spans="1:6" ht="15" customHeight="1" x14ac:dyDescent="0.3">
      <c r="A59" s="294" t="s">
        <v>39</v>
      </c>
      <c r="B59" s="368"/>
      <c r="D59" s="368"/>
      <c r="F59" s="713"/>
    </row>
    <row r="60" spans="1:6" ht="15" customHeight="1" x14ac:dyDescent="0.3">
      <c r="A60" s="278" t="s">
        <v>117</v>
      </c>
      <c r="B60" s="802">
        <v>0</v>
      </c>
      <c r="C60" s="802">
        <v>0</v>
      </c>
      <c r="D60" s="802">
        <v>0</v>
      </c>
      <c r="E60" s="802">
        <v>0</v>
      </c>
      <c r="F60" s="802"/>
    </row>
    <row r="61" spans="1:6" ht="15" customHeight="1" x14ac:dyDescent="0.3">
      <c r="A61" s="278" t="s">
        <v>40</v>
      </c>
      <c r="B61" s="802">
        <v>9518557</v>
      </c>
      <c r="C61" s="802">
        <v>9368557</v>
      </c>
      <c r="D61" s="802">
        <v>9218557</v>
      </c>
      <c r="E61" s="802">
        <v>9068557</v>
      </c>
      <c r="F61" s="802"/>
    </row>
    <row r="62" spans="1:6" ht="15" customHeight="1" x14ac:dyDescent="0.3">
      <c r="A62" s="280"/>
      <c r="B62" s="371"/>
      <c r="C62" s="640"/>
      <c r="D62" s="371"/>
      <c r="E62" s="640"/>
      <c r="F62" s="715"/>
    </row>
    <row r="63" spans="1:6" ht="15" customHeight="1" x14ac:dyDescent="0.3">
      <c r="A63" s="299" t="s">
        <v>41</v>
      </c>
      <c r="B63" s="345">
        <f>SUM(B60:B61)</f>
        <v>9518557</v>
      </c>
      <c r="C63" s="345">
        <f>SUM(C60:C61)</f>
        <v>9368557</v>
      </c>
      <c r="D63" s="345">
        <f>SUM(D60:D61)</f>
        <v>9218557</v>
      </c>
      <c r="E63" s="345">
        <f>SUM(E60:E61)</f>
        <v>9068557</v>
      </c>
      <c r="F63" s="345">
        <f>SUM(F60:F61)</f>
        <v>0</v>
      </c>
    </row>
    <row r="64" spans="1:6" ht="15" customHeight="1" x14ac:dyDescent="0.3">
      <c r="A64" s="307"/>
      <c r="B64" s="634"/>
      <c r="C64" s="635"/>
      <c r="D64" s="634"/>
      <c r="E64" s="635"/>
      <c r="F64" s="712"/>
    </row>
    <row r="65" spans="1:6" ht="15" customHeight="1" x14ac:dyDescent="0.3">
      <c r="A65" s="294" t="s">
        <v>42</v>
      </c>
      <c r="B65" s="368"/>
      <c r="D65" s="368"/>
      <c r="F65" s="713"/>
    </row>
    <row r="66" spans="1:6" ht="15" customHeight="1" x14ac:dyDescent="0.3">
      <c r="A66" s="278" t="s">
        <v>43</v>
      </c>
      <c r="B66" s="802">
        <v>377070944.91000003</v>
      </c>
      <c r="C66" s="802">
        <v>392737550.42000002</v>
      </c>
      <c r="D66" s="802">
        <v>392737550.42000002</v>
      </c>
      <c r="E66" s="802">
        <v>392737550.42000002</v>
      </c>
      <c r="F66" s="802"/>
    </row>
    <row r="67" spans="1:6" ht="15" customHeight="1" x14ac:dyDescent="0.3">
      <c r="A67" s="278" t="s">
        <v>44</v>
      </c>
      <c r="B67" s="802">
        <v>0</v>
      </c>
      <c r="C67" s="802">
        <v>0</v>
      </c>
      <c r="D67" s="802">
        <v>0</v>
      </c>
      <c r="E67" s="802">
        <v>0</v>
      </c>
      <c r="F67" s="802"/>
    </row>
    <row r="68" spans="1:6" ht="15" customHeight="1" x14ac:dyDescent="0.3">
      <c r="A68" s="278" t="s">
        <v>45</v>
      </c>
      <c r="B68" s="802">
        <v>2246605.04</v>
      </c>
      <c r="C68" s="802">
        <v>2246605.04</v>
      </c>
      <c r="D68" s="802">
        <v>2246605.04</v>
      </c>
      <c r="E68" s="802">
        <v>2246605.04</v>
      </c>
      <c r="F68" s="802"/>
    </row>
    <row r="69" spans="1:6" ht="15" customHeight="1" x14ac:dyDescent="0.3">
      <c r="A69" s="279" t="s">
        <v>46</v>
      </c>
      <c r="B69" s="802">
        <v>15903466.119999999</v>
      </c>
      <c r="C69" s="802">
        <v>3977808.47</v>
      </c>
      <c r="D69" s="802">
        <v>8993501.7699999996</v>
      </c>
      <c r="E69" s="802">
        <v>19724382.73</v>
      </c>
      <c r="F69" s="802"/>
    </row>
    <row r="70" spans="1:6" ht="15" customHeight="1" x14ac:dyDescent="0.3">
      <c r="A70" s="299" t="s">
        <v>47</v>
      </c>
      <c r="B70" s="345">
        <f>SUM(B66:B69)</f>
        <v>395221016.07000005</v>
      </c>
      <c r="C70" s="345">
        <f>SUM(C66:C69)</f>
        <v>398961963.93000007</v>
      </c>
      <c r="D70" s="345">
        <f>SUM(D66:D69)</f>
        <v>403977657.23000002</v>
      </c>
      <c r="E70" s="345">
        <f>SUM(E66:E69)</f>
        <v>414708538.19000006</v>
      </c>
      <c r="F70" s="345">
        <f>SUM(F66:F69)</f>
        <v>0</v>
      </c>
    </row>
    <row r="71" spans="1:6" ht="15.75" customHeight="1" x14ac:dyDescent="0.3">
      <c r="A71" s="308"/>
      <c r="B71" s="643"/>
      <c r="C71" s="644"/>
      <c r="D71" s="643"/>
      <c r="E71" s="644"/>
      <c r="F71" s="717"/>
    </row>
    <row r="72" spans="1:6" ht="16.5" customHeight="1" thickBot="1" x14ac:dyDescent="0.35">
      <c r="A72" s="309" t="s">
        <v>48</v>
      </c>
      <c r="B72" s="645">
        <f>SUM(B57+B63+B70)</f>
        <v>410473968.52000004</v>
      </c>
      <c r="C72" s="645">
        <f>SUM(C57+C63+C70)</f>
        <v>412029735.97000009</v>
      </c>
      <c r="D72" s="645">
        <f>SUM(D57+D63+D70)</f>
        <v>419134504.49000001</v>
      </c>
      <c r="E72" s="645">
        <f>SUM(E57+E63+E70)</f>
        <v>430140042.03000003</v>
      </c>
      <c r="F72" s="645">
        <f>SUM(F57+F63+F70)</f>
        <v>0</v>
      </c>
    </row>
  </sheetData>
  <sheetProtection algorithmName="SHA-512" hashValue="hLF1pEqtY1eK7zaZIMVpwcF2mFLyYfHc1yWRIXm2EGI4/WATcRwpCfUxgt6iGwt6wRGegGhoGGuqAmBWIFc8qQ==" saltValue="35BZjxliRzMIYsydAmfhlw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4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59999389629810485"/>
    <pageSetUpPr fitToPage="1"/>
  </sheetPr>
  <dimension ref="A1:AG83"/>
  <sheetViews>
    <sheetView view="pageBreakPreview" zoomScale="70" zoomScaleNormal="80" zoomScaleSheetLayoutView="70" workbookViewId="0">
      <pane xSplit="1" topLeftCell="B1" activePane="topRight" state="frozen"/>
      <selection pane="topRight" activeCell="O19" sqref="O19"/>
    </sheetView>
  </sheetViews>
  <sheetFormatPr defaultRowHeight="18.75" x14ac:dyDescent="0.3"/>
  <cols>
    <col min="1" max="1" width="54.85546875" style="46" customWidth="1"/>
    <col min="2" max="4" width="12.85546875" style="379" customWidth="1"/>
    <col min="5" max="5" width="11" style="276" customWidth="1"/>
    <col min="6" max="6" width="1" style="46" customWidth="1"/>
    <col min="7" max="9" width="12.85546875" style="379" customWidth="1"/>
    <col min="10" max="10" width="11.85546875" style="276" customWidth="1"/>
    <col min="11" max="11" width="1.140625" style="46" customWidth="1"/>
    <col min="12" max="14" width="12" style="379" customWidth="1"/>
    <col min="15" max="15" width="10.7109375" style="277" customWidth="1"/>
    <col min="16" max="16" width="1" style="46" customWidth="1"/>
    <col min="17" max="19" width="12.28515625" style="379" customWidth="1"/>
    <col min="20" max="20" width="11" style="277" customWidth="1"/>
    <col min="21" max="21" width="1.28515625" style="46" customWidth="1"/>
    <col min="22" max="22" width="14.85546875" style="379" customWidth="1"/>
    <col min="23" max="24" width="12.7109375" style="379" customWidth="1"/>
    <col min="25" max="25" width="11.140625" style="277" customWidth="1"/>
    <col min="26" max="26" width="1" style="46" customWidth="1"/>
    <col min="27" max="27" width="12.85546875" style="379" customWidth="1"/>
    <col min="28" max="28" width="14.28515625" style="379" customWidth="1"/>
    <col min="29" max="29" width="1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873" t="s">
        <v>49</v>
      </c>
      <c r="B1" s="459"/>
      <c r="C1" s="459"/>
      <c r="D1" s="459"/>
      <c r="E1" s="459"/>
      <c r="F1" s="459"/>
      <c r="G1" s="459"/>
      <c r="H1" s="459"/>
      <c r="I1" s="380"/>
      <c r="J1" s="84"/>
      <c r="K1" s="85"/>
      <c r="L1" s="381"/>
      <c r="M1" s="381"/>
      <c r="N1" s="381"/>
      <c r="O1" s="87"/>
      <c r="P1" s="116"/>
      <c r="Q1" s="380"/>
      <c r="R1" s="382"/>
      <c r="S1" s="394"/>
      <c r="T1" s="89"/>
      <c r="U1" s="116"/>
      <c r="V1" s="395"/>
      <c r="W1" s="395"/>
      <c r="X1" s="395"/>
      <c r="Y1" s="119"/>
      <c r="Z1" s="116"/>
      <c r="AA1" s="395"/>
      <c r="AB1" s="395"/>
      <c r="AC1" s="119"/>
      <c r="AD1" s="116"/>
      <c r="AE1" s="120"/>
    </row>
    <row r="2" spans="1:31" x14ac:dyDescent="0.3">
      <c r="A2" s="883"/>
      <c r="B2" s="383"/>
      <c r="C2" s="383"/>
      <c r="D2" s="383"/>
      <c r="E2" s="91"/>
      <c r="F2" s="92"/>
      <c r="G2" s="383"/>
      <c r="H2" s="383"/>
      <c r="I2" s="383"/>
      <c r="J2" s="91"/>
      <c r="K2" s="93"/>
      <c r="L2" s="327"/>
      <c r="M2" s="327"/>
      <c r="N2" s="327"/>
      <c r="O2" s="94"/>
      <c r="P2" s="93"/>
      <c r="Q2" s="383"/>
      <c r="R2" s="384"/>
      <c r="S2" s="396"/>
      <c r="T2" s="96"/>
      <c r="U2" s="93"/>
      <c r="V2" s="397"/>
      <c r="W2" s="397"/>
      <c r="X2" s="397"/>
      <c r="Y2" s="124"/>
      <c r="Z2" s="93"/>
      <c r="AA2" s="397"/>
      <c r="AB2" s="397"/>
      <c r="AC2" s="124"/>
      <c r="AD2" s="93"/>
      <c r="AE2" s="125"/>
    </row>
    <row r="3" spans="1:31" s="49" customFormat="1" x14ac:dyDescent="0.3">
      <c r="A3" s="874" t="s">
        <v>183</v>
      </c>
      <c r="B3" s="875"/>
      <c r="C3" s="875"/>
      <c r="D3" s="875"/>
      <c r="E3" s="875"/>
      <c r="F3" s="875"/>
      <c r="G3" s="875"/>
      <c r="H3" s="875"/>
      <c r="I3" s="385"/>
      <c r="J3" s="98"/>
      <c r="K3" s="99"/>
      <c r="L3" s="386"/>
      <c r="M3" s="386"/>
      <c r="N3" s="386"/>
      <c r="O3" s="101"/>
      <c r="P3" s="126"/>
      <c r="Q3" s="385"/>
      <c r="R3" s="387"/>
      <c r="S3" s="393"/>
      <c r="T3" s="103"/>
      <c r="U3" s="126"/>
      <c r="V3" s="398"/>
      <c r="W3" s="398"/>
      <c r="X3" s="398"/>
      <c r="Y3" s="128"/>
      <c r="Z3" s="126"/>
      <c r="AA3" s="398"/>
      <c r="AB3" s="398"/>
      <c r="AC3" s="128"/>
      <c r="AD3" s="126"/>
      <c r="AE3" s="129"/>
    </row>
    <row r="4" spans="1:31" x14ac:dyDescent="0.3">
      <c r="A4" s="876" t="s">
        <v>51</v>
      </c>
      <c r="B4" s="877"/>
      <c r="C4" s="877"/>
      <c r="D4" s="877"/>
      <c r="E4" s="877"/>
      <c r="F4" s="877"/>
      <c r="G4" s="877"/>
      <c r="H4" s="877"/>
      <c r="I4" s="383"/>
      <c r="J4" s="91"/>
      <c r="K4" s="104"/>
      <c r="L4" s="388"/>
      <c r="M4" s="388"/>
      <c r="N4" s="388"/>
      <c r="O4" s="106"/>
      <c r="P4" s="130"/>
      <c r="Q4" s="389"/>
      <c r="R4" s="390"/>
      <c r="S4" s="396"/>
      <c r="T4" s="109"/>
      <c r="U4" s="130"/>
      <c r="V4" s="397"/>
      <c r="W4" s="397"/>
      <c r="X4" s="397"/>
      <c r="Y4" s="124"/>
      <c r="Z4" s="130"/>
      <c r="AA4" s="397"/>
      <c r="AB4" s="397"/>
      <c r="AC4" s="124"/>
      <c r="AD4" s="130"/>
      <c r="AE4" s="125"/>
    </row>
    <row r="5" spans="1:31" x14ac:dyDescent="0.3">
      <c r="A5" s="876" t="s">
        <v>52</v>
      </c>
      <c r="B5" s="460"/>
      <c r="C5" s="460"/>
      <c r="D5" s="460"/>
      <c r="E5" s="460"/>
      <c r="F5" s="460"/>
      <c r="G5" s="460"/>
      <c r="H5" s="460"/>
      <c r="I5" s="383"/>
      <c r="J5" s="91"/>
      <c r="K5" s="104"/>
      <c r="L5" s="388"/>
      <c r="M5" s="388"/>
      <c r="N5" s="388"/>
      <c r="O5" s="106"/>
      <c r="P5" s="130"/>
      <c r="Q5" s="389"/>
      <c r="R5" s="390"/>
      <c r="S5" s="396"/>
      <c r="T5" s="109"/>
      <c r="U5" s="130"/>
      <c r="V5" s="397"/>
      <c r="W5" s="397"/>
      <c r="X5" s="397"/>
      <c r="Y5" s="124"/>
      <c r="Z5" s="130"/>
      <c r="AA5" s="397"/>
      <c r="AB5" s="397"/>
      <c r="AC5" s="124"/>
      <c r="AD5" s="130"/>
      <c r="AE5" s="125"/>
    </row>
    <row r="6" spans="1:31" s="49" customFormat="1" x14ac:dyDescent="0.3">
      <c r="A6" s="874" t="s">
        <v>191</v>
      </c>
      <c r="B6" s="879"/>
      <c r="C6" s="879"/>
      <c r="D6" s="879"/>
      <c r="E6" s="879"/>
      <c r="F6" s="879"/>
      <c r="G6" s="879"/>
      <c r="H6" s="879"/>
      <c r="I6" s="385"/>
      <c r="J6" s="98"/>
      <c r="K6" s="110"/>
      <c r="L6" s="391"/>
      <c r="M6" s="391"/>
      <c r="N6" s="391"/>
      <c r="O6" s="112"/>
      <c r="P6" s="126"/>
      <c r="Q6" s="392"/>
      <c r="R6" s="393"/>
      <c r="S6" s="393"/>
      <c r="T6" s="115"/>
      <c r="U6" s="126"/>
      <c r="V6" s="398"/>
      <c r="W6" s="398"/>
      <c r="X6" s="398"/>
      <c r="Y6" s="128"/>
      <c r="Z6" s="126"/>
      <c r="AA6" s="386"/>
      <c r="AB6" s="386"/>
      <c r="AC6" s="128"/>
      <c r="AD6" s="126"/>
      <c r="AE6" s="129"/>
    </row>
    <row r="7" spans="1:31" s="49" customFormat="1" x14ac:dyDescent="0.3">
      <c r="A7" s="872" t="s">
        <v>2</v>
      </c>
      <c r="B7" s="462"/>
      <c r="C7" s="462"/>
      <c r="D7" s="462"/>
      <c r="E7" s="462"/>
      <c r="F7" s="462"/>
      <c r="G7" s="462"/>
      <c r="H7" s="462"/>
      <c r="I7" s="385"/>
      <c r="J7" s="98"/>
      <c r="K7" s="110"/>
      <c r="L7" s="391"/>
      <c r="M7" s="391"/>
      <c r="N7" s="391"/>
      <c r="O7" s="112"/>
      <c r="P7" s="126"/>
      <c r="Q7" s="392"/>
      <c r="R7" s="393"/>
      <c r="S7" s="393"/>
      <c r="T7" s="115"/>
      <c r="U7" s="126"/>
      <c r="V7" s="398"/>
      <c r="W7" s="398"/>
      <c r="X7" s="398"/>
      <c r="Y7" s="128"/>
      <c r="Z7" s="126"/>
      <c r="AA7" s="398"/>
      <c r="AB7" s="398"/>
      <c r="AC7" s="128"/>
      <c r="AD7" s="126"/>
      <c r="AE7" s="129"/>
    </row>
    <row r="8" spans="1:31" ht="19.5" thickBot="1" x14ac:dyDescent="0.35">
      <c r="A8" s="467" t="s">
        <v>169</v>
      </c>
      <c r="B8" s="882"/>
      <c r="C8" s="881"/>
      <c r="D8" s="881"/>
      <c r="E8" s="887"/>
      <c r="F8" s="880"/>
      <c r="G8" s="881"/>
      <c r="H8" s="881"/>
      <c r="I8" s="397"/>
      <c r="J8" s="133"/>
      <c r="K8" s="130"/>
      <c r="L8" s="397"/>
      <c r="M8" s="397"/>
      <c r="N8" s="397"/>
      <c r="O8" s="124"/>
      <c r="P8" s="130"/>
      <c r="Q8" s="397"/>
      <c r="R8" s="397"/>
      <c r="S8" s="397"/>
      <c r="T8" s="124"/>
      <c r="U8" s="130"/>
      <c r="V8" s="397"/>
      <c r="W8" s="397"/>
      <c r="X8" s="397"/>
      <c r="Y8" s="124"/>
      <c r="Z8" s="130"/>
      <c r="AA8" s="397"/>
      <c r="AB8" s="397"/>
      <c r="AC8" s="124"/>
      <c r="AD8" s="130"/>
      <c r="AE8" s="125"/>
    </row>
    <row r="9" spans="1:31" x14ac:dyDescent="0.3">
      <c r="A9" s="468"/>
      <c r="B9" s="1716" t="s">
        <v>53</v>
      </c>
      <c r="C9" s="1717"/>
      <c r="D9" s="1718"/>
      <c r="E9" s="1719"/>
      <c r="F9" s="1239"/>
      <c r="G9" s="1720" t="s">
        <v>54</v>
      </c>
      <c r="H9" s="1717"/>
      <c r="I9" s="1717"/>
      <c r="J9" s="1721"/>
      <c r="K9" s="1240"/>
      <c r="L9" s="1722" t="s">
        <v>55</v>
      </c>
      <c r="M9" s="1723"/>
      <c r="N9" s="1723"/>
      <c r="O9" s="1724"/>
      <c r="P9" s="1239"/>
      <c r="Q9" s="1725" t="s">
        <v>56</v>
      </c>
      <c r="R9" s="1718"/>
      <c r="S9" s="1718"/>
      <c r="T9" s="1718"/>
      <c r="U9" s="794"/>
      <c r="V9" s="1726" t="s">
        <v>57</v>
      </c>
      <c r="W9" s="1727"/>
      <c r="X9" s="1727"/>
      <c r="Y9" s="1727"/>
      <c r="Z9" s="794"/>
      <c r="AA9" s="1726" t="s">
        <v>190</v>
      </c>
      <c r="AB9" s="1727"/>
      <c r="AC9" s="1727"/>
      <c r="AD9" s="794"/>
      <c r="AE9" s="1708" t="s">
        <v>58</v>
      </c>
    </row>
    <row r="10" spans="1:31" ht="37.5" x14ac:dyDescent="0.3">
      <c r="A10" s="469" t="s">
        <v>59</v>
      </c>
      <c r="B10" s="914" t="s">
        <v>60</v>
      </c>
      <c r="C10" s="400" t="s">
        <v>61</v>
      </c>
      <c r="D10" s="1710" t="s">
        <v>62</v>
      </c>
      <c r="E10" s="1711"/>
      <c r="F10" s="139"/>
      <c r="G10" s="912" t="s">
        <v>60</v>
      </c>
      <c r="H10" s="400" t="s">
        <v>61</v>
      </c>
      <c r="I10" s="1712" t="s">
        <v>62</v>
      </c>
      <c r="J10" s="1713"/>
      <c r="K10" s="918"/>
      <c r="L10" s="914" t="s">
        <v>60</v>
      </c>
      <c r="M10" s="400" t="s">
        <v>61</v>
      </c>
      <c r="N10" s="1712" t="s">
        <v>62</v>
      </c>
      <c r="O10" s="1713"/>
      <c r="P10" s="139"/>
      <c r="Q10" s="401" t="s">
        <v>60</v>
      </c>
      <c r="R10" s="402" t="s">
        <v>61</v>
      </c>
      <c r="S10" s="1714" t="s">
        <v>62</v>
      </c>
      <c r="T10" s="1715"/>
      <c r="U10" s="795"/>
      <c r="V10" s="557" t="s">
        <v>60</v>
      </c>
      <c r="W10" s="402" t="s">
        <v>61</v>
      </c>
      <c r="X10" s="1714" t="s">
        <v>62</v>
      </c>
      <c r="Y10" s="1715"/>
      <c r="Z10" s="795"/>
      <c r="AA10" s="1246" t="s">
        <v>63</v>
      </c>
      <c r="AB10" s="1714" t="s">
        <v>64</v>
      </c>
      <c r="AC10" s="1715"/>
      <c r="AD10" s="795"/>
      <c r="AE10" s="1709"/>
    </row>
    <row r="11" spans="1:31" ht="19.5" thickBot="1" x14ac:dyDescent="0.35">
      <c r="A11" s="1590"/>
      <c r="B11" s="1650" t="s">
        <v>107</v>
      </c>
      <c r="C11" s="1030" t="s">
        <v>107</v>
      </c>
      <c r="D11" s="1031" t="s">
        <v>107</v>
      </c>
      <c r="E11" s="1032" t="s">
        <v>65</v>
      </c>
      <c r="F11" s="146"/>
      <c r="G11" s="1029" t="s">
        <v>107</v>
      </c>
      <c r="H11" s="1030" t="s">
        <v>107</v>
      </c>
      <c r="I11" s="1033" t="s">
        <v>107</v>
      </c>
      <c r="J11" s="1032" t="s">
        <v>65</v>
      </c>
      <c r="K11" s="916"/>
      <c r="L11" s="1029" t="s">
        <v>107</v>
      </c>
      <c r="M11" s="1030" t="s">
        <v>107</v>
      </c>
      <c r="N11" s="1033" t="s">
        <v>107</v>
      </c>
      <c r="O11" s="1035" t="s">
        <v>65</v>
      </c>
      <c r="P11" s="796"/>
      <c r="Q11" s="1036" t="s">
        <v>107</v>
      </c>
      <c r="R11" s="1037" t="s">
        <v>107</v>
      </c>
      <c r="S11" s="1038" t="s">
        <v>107</v>
      </c>
      <c r="T11" s="1570" t="s">
        <v>65</v>
      </c>
      <c r="U11" s="796"/>
      <c r="V11" s="1630" t="s">
        <v>107</v>
      </c>
      <c r="W11" s="1037" t="s">
        <v>107</v>
      </c>
      <c r="X11" s="1038" t="s">
        <v>107</v>
      </c>
      <c r="Y11" s="1570" t="s">
        <v>65</v>
      </c>
      <c r="Z11" s="796"/>
      <c r="AA11" s="1630" t="s">
        <v>107</v>
      </c>
      <c r="AB11" s="1038" t="s">
        <v>107</v>
      </c>
      <c r="AC11" s="1570" t="s">
        <v>65</v>
      </c>
      <c r="AD11" s="796"/>
      <c r="AE11" s="1709"/>
    </row>
    <row r="12" spans="1:31" x14ac:dyDescent="0.3">
      <c r="A12" s="473"/>
      <c r="B12" s="1040"/>
      <c r="C12" s="1654"/>
      <c r="D12" s="1654"/>
      <c r="E12" s="1655"/>
      <c r="F12" s="156"/>
      <c r="G12" s="1004"/>
      <c r="H12" s="409"/>
      <c r="I12" s="409"/>
      <c r="J12" s="1028"/>
      <c r="K12" s="917"/>
      <c r="L12" s="1040"/>
      <c r="M12" s="915"/>
      <c r="N12" s="409"/>
      <c r="O12" s="1034"/>
      <c r="P12" s="797"/>
      <c r="Q12" s="915"/>
      <c r="R12" s="409"/>
      <c r="S12" s="409"/>
      <c r="T12" s="1039"/>
      <c r="U12" s="962"/>
      <c r="V12" s="915"/>
      <c r="W12" s="409"/>
      <c r="X12" s="409"/>
      <c r="Y12" s="1039"/>
      <c r="Z12" s="797"/>
      <c r="AA12" s="915"/>
      <c r="AB12" s="409"/>
      <c r="AC12" s="1039"/>
      <c r="AD12" s="780"/>
      <c r="AE12" s="1257"/>
    </row>
    <row r="13" spans="1:31" x14ac:dyDescent="0.3">
      <c r="A13" s="483" t="s">
        <v>66</v>
      </c>
      <c r="B13" s="413"/>
      <c r="C13" s="412"/>
      <c r="D13" s="412"/>
      <c r="E13" s="925"/>
      <c r="F13" s="160"/>
      <c r="G13" s="413"/>
      <c r="H13" s="412"/>
      <c r="I13" s="412"/>
      <c r="J13" s="925"/>
      <c r="K13" s="909"/>
      <c r="L13" s="413"/>
      <c r="M13" s="908"/>
      <c r="N13" s="412"/>
      <c r="O13" s="730"/>
      <c r="P13" s="781"/>
      <c r="Q13" s="908"/>
      <c r="R13" s="412"/>
      <c r="S13" s="412"/>
      <c r="T13" s="765"/>
      <c r="U13" s="781"/>
      <c r="V13" s="908"/>
      <c r="W13" s="412"/>
      <c r="X13" s="412"/>
      <c r="Y13" s="765"/>
      <c r="Z13" s="950"/>
      <c r="AA13" s="908"/>
      <c r="AB13" s="412"/>
      <c r="AC13" s="765"/>
      <c r="AD13" s="781"/>
      <c r="AE13" s="1257"/>
    </row>
    <row r="14" spans="1:31" x14ac:dyDescent="0.3">
      <c r="A14" s="1335" t="s">
        <v>132</v>
      </c>
      <c r="B14" s="417">
        <v>0</v>
      </c>
      <c r="C14" s="416">
        <v>0</v>
      </c>
      <c r="D14" s="416">
        <f>C14-B14</f>
        <v>0</v>
      </c>
      <c r="E14" s="926" t="str">
        <f>IF(ISERROR(D14/B14),"-",D14/B14)</f>
        <v>-</v>
      </c>
      <c r="F14" s="166"/>
      <c r="G14" s="417">
        <v>0</v>
      </c>
      <c r="H14" s="416">
        <v>0</v>
      </c>
      <c r="I14" s="416">
        <f>H14-G14</f>
        <v>0</v>
      </c>
      <c r="J14" s="926" t="str">
        <f t="shared" ref="J14:J24" si="0">IF(ISERROR(I14/G14),"-",I14/G14)</f>
        <v>-</v>
      </c>
      <c r="K14" s="910"/>
      <c r="L14" s="601">
        <v>0</v>
      </c>
      <c r="M14" s="602">
        <v>0</v>
      </c>
      <c r="N14" s="416">
        <f>M14-L14</f>
        <v>0</v>
      </c>
      <c r="O14" s="731" t="str">
        <f>IF(ISERROR(N14/L14),"-",N14/L14)</f>
        <v>-</v>
      </c>
      <c r="P14" s="782"/>
      <c r="Q14" s="601"/>
      <c r="R14" s="602"/>
      <c r="S14" s="416">
        <f>R14-Q14</f>
        <v>0</v>
      </c>
      <c r="T14" s="766" t="str">
        <f t="shared" ref="T14:T24" si="1">IF(ISERROR(S14/Q14),"-",S14/Q14)</f>
        <v>-</v>
      </c>
      <c r="U14" s="782"/>
      <c r="V14" s="567">
        <f>B14+G14+L14+Q14</f>
        <v>0</v>
      </c>
      <c r="W14" s="416">
        <f>C14+H14+M14+R14</f>
        <v>0</v>
      </c>
      <c r="X14" s="416">
        <f>W14-V14</f>
        <v>0</v>
      </c>
      <c r="Y14" s="766" t="str">
        <f t="shared" ref="Y14:Y24" si="2">IF(ISERROR(X14/V14),"-",X14/V14)</f>
        <v>-</v>
      </c>
      <c r="Z14" s="951"/>
      <c r="AA14" s="604">
        <v>0</v>
      </c>
      <c r="AB14" s="416">
        <f>AA14-W14</f>
        <v>0</v>
      </c>
      <c r="AC14" s="766" t="str">
        <f>IF(ISERROR(AB14/AA14),"-",AB14/AA14)</f>
        <v>-</v>
      </c>
      <c r="AD14" s="782"/>
      <c r="AE14" s="1591"/>
    </row>
    <row r="15" spans="1:31" x14ac:dyDescent="0.3">
      <c r="A15" s="476" t="s">
        <v>111</v>
      </c>
      <c r="B15" s="417">
        <v>64250</v>
      </c>
      <c r="C15" s="416">
        <v>132035.51</v>
      </c>
      <c r="D15" s="416">
        <f t="shared" ref="D15:D24" si="3">C15-B15</f>
        <v>67785.510000000009</v>
      </c>
      <c r="E15" s="926">
        <f>IF(ISERROR(D15/B15),"-",D15/B15)</f>
        <v>1.0550273929961091</v>
      </c>
      <c r="F15" s="166"/>
      <c r="G15" s="417">
        <v>64250</v>
      </c>
      <c r="H15" s="416">
        <v>98275.29</v>
      </c>
      <c r="I15" s="416">
        <f t="shared" ref="I15:I24" si="4">H15-G15</f>
        <v>34025.289999999994</v>
      </c>
      <c r="J15" s="926">
        <f t="shared" si="0"/>
        <v>0.5295764980544746</v>
      </c>
      <c r="K15" s="910"/>
      <c r="L15" s="601">
        <v>64250</v>
      </c>
      <c r="M15" s="602">
        <v>93635.36</v>
      </c>
      <c r="N15" s="416">
        <f t="shared" ref="N15:N24" si="5">M15-L15</f>
        <v>29385.360000000001</v>
      </c>
      <c r="O15" s="731">
        <f t="shared" ref="O15:O24" si="6">IF(ISERROR(N15/L15),"-",N15/L15)</f>
        <v>0.45735968871595334</v>
      </c>
      <c r="P15" s="166"/>
      <c r="Q15" s="601"/>
      <c r="R15" s="602"/>
      <c r="S15" s="416">
        <f t="shared" ref="S15:S24" si="7">R15-Q15</f>
        <v>0</v>
      </c>
      <c r="T15" s="766" t="str">
        <f t="shared" si="1"/>
        <v>-</v>
      </c>
      <c r="U15" s="782"/>
      <c r="V15" s="567">
        <f t="shared" ref="V15:V24" si="8">B15+G15+L15+Q15</f>
        <v>192750</v>
      </c>
      <c r="W15" s="416">
        <f t="shared" ref="W15:W24" si="9">C15+H15+M15+R15</f>
        <v>323946.15999999997</v>
      </c>
      <c r="X15" s="416">
        <f t="shared" ref="X15:X24" si="10">W15-V15</f>
        <v>131196.15999999997</v>
      </c>
      <c r="Y15" s="766">
        <f t="shared" si="2"/>
        <v>0.68065452658884551</v>
      </c>
      <c r="Z15" s="951"/>
      <c r="AA15" s="604">
        <v>257000</v>
      </c>
      <c r="AB15" s="416">
        <f t="shared" ref="AB15:AB23" si="11">AA15-W15</f>
        <v>-66946.159999999974</v>
      </c>
      <c r="AC15" s="766">
        <f t="shared" ref="AC15:AC25" si="12">IF(ISERROR(AB15/AA15),"-",AB15/AA15)</f>
        <v>-0.26049089494163413</v>
      </c>
      <c r="AD15" s="782"/>
      <c r="AE15" s="1592"/>
    </row>
    <row r="16" spans="1:31" x14ac:dyDescent="0.3">
      <c r="A16" s="476" t="s">
        <v>69</v>
      </c>
      <c r="B16" s="417">
        <v>5085278.5</v>
      </c>
      <c r="C16" s="416">
        <v>5205386.6100000003</v>
      </c>
      <c r="D16" s="416">
        <f t="shared" si="3"/>
        <v>120108.11000000034</v>
      </c>
      <c r="E16" s="926">
        <f t="shared" ref="E16:E24" si="13">IF(ISERROR(D16/B16),"-",D16/B16)</f>
        <v>2.3618787053649143E-2</v>
      </c>
      <c r="F16" s="171"/>
      <c r="G16" s="417">
        <v>5085278.5</v>
      </c>
      <c r="H16" s="416">
        <v>3567768.54</v>
      </c>
      <c r="I16" s="416">
        <f t="shared" si="4"/>
        <v>-1517509.96</v>
      </c>
      <c r="J16" s="926">
        <f t="shared" si="0"/>
        <v>-0.29841236030632345</v>
      </c>
      <c r="K16" s="956"/>
      <c r="L16" s="601">
        <v>5085278.5</v>
      </c>
      <c r="M16" s="602">
        <v>11654501.699999999</v>
      </c>
      <c r="N16" s="416">
        <f t="shared" si="5"/>
        <v>6569223.1999999993</v>
      </c>
      <c r="O16" s="731">
        <f t="shared" si="6"/>
        <v>1.2918118840492216</v>
      </c>
      <c r="P16" s="171"/>
      <c r="Q16" s="601"/>
      <c r="R16" s="602"/>
      <c r="S16" s="416">
        <f t="shared" si="7"/>
        <v>0</v>
      </c>
      <c r="T16" s="766" t="str">
        <f t="shared" si="1"/>
        <v>-</v>
      </c>
      <c r="U16" s="783"/>
      <c r="V16" s="567">
        <f>B16+G16+L16+Q16</f>
        <v>15255835.5</v>
      </c>
      <c r="W16" s="416">
        <f t="shared" si="9"/>
        <v>20427656.850000001</v>
      </c>
      <c r="X16" s="416">
        <f t="shared" si="10"/>
        <v>5171821.3500000015</v>
      </c>
      <c r="Y16" s="766">
        <f t="shared" si="2"/>
        <v>0.3390061035988492</v>
      </c>
      <c r="Z16" s="951"/>
      <c r="AA16" s="604">
        <v>22641113</v>
      </c>
      <c r="AB16" s="416">
        <f>AA16-W16</f>
        <v>2213456.1499999985</v>
      </c>
      <c r="AC16" s="766">
        <f t="shared" si="12"/>
        <v>9.7762691701596058E-2</v>
      </c>
      <c r="AD16" s="783"/>
      <c r="AE16" s="1593"/>
    </row>
    <row r="17" spans="1:33" x14ac:dyDescent="0.3">
      <c r="A17" s="476" t="s">
        <v>68</v>
      </c>
      <c r="B17" s="417">
        <v>78600</v>
      </c>
      <c r="C17" s="416">
        <v>72600</v>
      </c>
      <c r="D17" s="416">
        <f t="shared" si="3"/>
        <v>-6000</v>
      </c>
      <c r="E17" s="926">
        <f>IF(ISERROR(D17/B17),"-",D17/B17)</f>
        <v>-7.6335877862595422E-2</v>
      </c>
      <c r="F17" s="166"/>
      <c r="G17" s="417">
        <v>78600</v>
      </c>
      <c r="H17" s="416">
        <v>69600</v>
      </c>
      <c r="I17" s="416">
        <f t="shared" si="4"/>
        <v>-9000</v>
      </c>
      <c r="J17" s="926">
        <f>IF(ISERROR(I17/G17),"-",I17/G17)</f>
        <v>-0.11450381679389313</v>
      </c>
      <c r="K17" s="910"/>
      <c r="L17" s="601">
        <v>78600</v>
      </c>
      <c r="M17" s="602">
        <v>69600</v>
      </c>
      <c r="N17" s="416">
        <f t="shared" si="5"/>
        <v>-9000</v>
      </c>
      <c r="O17" s="731">
        <f t="shared" si="6"/>
        <v>-0.11450381679389313</v>
      </c>
      <c r="P17" s="166"/>
      <c r="Q17" s="601"/>
      <c r="R17" s="602"/>
      <c r="S17" s="416">
        <f t="shared" si="7"/>
        <v>0</v>
      </c>
      <c r="T17" s="766" t="str">
        <f t="shared" si="1"/>
        <v>-</v>
      </c>
      <c r="U17" s="782"/>
      <c r="V17" s="567">
        <f t="shared" si="8"/>
        <v>235800</v>
      </c>
      <c r="W17" s="416">
        <f t="shared" si="9"/>
        <v>211800</v>
      </c>
      <c r="X17" s="416">
        <f t="shared" si="10"/>
        <v>-24000</v>
      </c>
      <c r="Y17" s="766">
        <f t="shared" si="2"/>
        <v>-0.10178117048346055</v>
      </c>
      <c r="Z17" s="951"/>
      <c r="AA17" s="604">
        <v>314400</v>
      </c>
      <c r="AB17" s="416">
        <f t="shared" si="11"/>
        <v>102600</v>
      </c>
      <c r="AC17" s="766">
        <f t="shared" si="12"/>
        <v>0.32633587786259544</v>
      </c>
      <c r="AD17" s="782"/>
      <c r="AE17" s="1591"/>
    </row>
    <row r="18" spans="1:33" x14ac:dyDescent="0.3">
      <c r="A18" s="476" t="s">
        <v>71</v>
      </c>
      <c r="B18" s="417">
        <v>909</v>
      </c>
      <c r="C18" s="416">
        <v>233157.34</v>
      </c>
      <c r="D18" s="416">
        <f>C18-B18</f>
        <v>232248.34</v>
      </c>
      <c r="E18" s="926">
        <f t="shared" si="13"/>
        <v>255.49872387238725</v>
      </c>
      <c r="F18" s="166"/>
      <c r="G18" s="417">
        <v>909</v>
      </c>
      <c r="H18" s="416">
        <v>724480.15</v>
      </c>
      <c r="I18" s="416">
        <f t="shared" si="4"/>
        <v>723571.15</v>
      </c>
      <c r="J18" s="926">
        <f t="shared" si="0"/>
        <v>796.00786578657869</v>
      </c>
      <c r="K18" s="910"/>
      <c r="L18" s="601">
        <v>909</v>
      </c>
      <c r="M18" s="602">
        <v>906868.73</v>
      </c>
      <c r="N18" s="416">
        <f t="shared" si="5"/>
        <v>905959.73</v>
      </c>
      <c r="O18" s="731">
        <f>IF(ISERROR(N18/L18),"-",N18/L18)</f>
        <v>996.65536853685364</v>
      </c>
      <c r="P18" s="166"/>
      <c r="Q18" s="601"/>
      <c r="R18" s="602"/>
      <c r="S18" s="416">
        <f t="shared" si="7"/>
        <v>0</v>
      </c>
      <c r="T18" s="766" t="str">
        <f t="shared" si="1"/>
        <v>-</v>
      </c>
      <c r="U18" s="782"/>
      <c r="V18" s="567">
        <f t="shared" si="8"/>
        <v>2727</v>
      </c>
      <c r="W18" s="416">
        <f t="shared" si="9"/>
        <v>1864506.22</v>
      </c>
      <c r="X18" s="416">
        <f t="shared" si="10"/>
        <v>1861779.22</v>
      </c>
      <c r="Y18" s="766">
        <f t="shared" si="2"/>
        <v>682.72065273193982</v>
      </c>
      <c r="Z18" s="951"/>
      <c r="AA18" s="604">
        <v>3636</v>
      </c>
      <c r="AB18" s="416">
        <f t="shared" si="11"/>
        <v>-1860870.22</v>
      </c>
      <c r="AC18" s="766">
        <f t="shared" si="12"/>
        <v>-511.79048954895489</v>
      </c>
      <c r="AD18" s="782"/>
      <c r="AE18" s="1594"/>
    </row>
    <row r="19" spans="1:33" x14ac:dyDescent="0.3">
      <c r="A19" s="476" t="s">
        <v>188</v>
      </c>
      <c r="B19" s="417">
        <v>0</v>
      </c>
      <c r="C19" s="604">
        <v>0</v>
      </c>
      <c r="D19" s="416">
        <f t="shared" si="3"/>
        <v>0</v>
      </c>
      <c r="E19" s="926" t="str">
        <f t="shared" si="13"/>
        <v>-</v>
      </c>
      <c r="F19" s="166"/>
      <c r="G19" s="417">
        <v>0</v>
      </c>
      <c r="H19" s="604">
        <v>0</v>
      </c>
      <c r="I19" s="416">
        <f t="shared" si="4"/>
        <v>0</v>
      </c>
      <c r="J19" s="926" t="str">
        <f t="shared" si="0"/>
        <v>-</v>
      </c>
      <c r="K19" s="910"/>
      <c r="L19" s="1065">
        <v>0</v>
      </c>
      <c r="M19" s="1065">
        <v>0</v>
      </c>
      <c r="N19" s="416">
        <f t="shared" si="5"/>
        <v>0</v>
      </c>
      <c r="O19" s="731" t="str">
        <f t="shared" si="6"/>
        <v>-</v>
      </c>
      <c r="P19" s="166"/>
      <c r="Q19" s="601"/>
      <c r="R19" s="602"/>
      <c r="S19" s="416">
        <f t="shared" si="7"/>
        <v>0</v>
      </c>
      <c r="T19" s="766" t="str">
        <f t="shared" si="1"/>
        <v>-</v>
      </c>
      <c r="U19" s="782"/>
      <c r="V19" s="567">
        <f t="shared" si="8"/>
        <v>0</v>
      </c>
      <c r="W19" s="416">
        <f t="shared" si="9"/>
        <v>0</v>
      </c>
      <c r="X19" s="416">
        <f t="shared" si="10"/>
        <v>0</v>
      </c>
      <c r="Y19" s="766" t="str">
        <f t="shared" si="2"/>
        <v>-</v>
      </c>
      <c r="Z19" s="951"/>
      <c r="AA19" s="604">
        <v>0</v>
      </c>
      <c r="AB19" s="416">
        <f t="shared" si="11"/>
        <v>0</v>
      </c>
      <c r="AC19" s="766" t="str">
        <f t="shared" si="12"/>
        <v>-</v>
      </c>
      <c r="AD19" s="782"/>
      <c r="AE19" s="1591"/>
    </row>
    <row r="20" spans="1:33" x14ac:dyDescent="0.3">
      <c r="A20" s="1466" t="s">
        <v>67</v>
      </c>
      <c r="B20" s="417">
        <v>0</v>
      </c>
      <c r="C20" s="604">
        <v>0</v>
      </c>
      <c r="D20" s="416">
        <f t="shared" si="3"/>
        <v>0</v>
      </c>
      <c r="E20" s="926" t="str">
        <f t="shared" si="13"/>
        <v>-</v>
      </c>
      <c r="F20" s="166"/>
      <c r="G20" s="417">
        <v>0</v>
      </c>
      <c r="H20" s="604">
        <v>0</v>
      </c>
      <c r="I20" s="416">
        <f t="shared" si="4"/>
        <v>0</v>
      </c>
      <c r="J20" s="926" t="str">
        <f t="shared" si="0"/>
        <v>-</v>
      </c>
      <c r="K20" s="910"/>
      <c r="L20" s="1065">
        <v>0</v>
      </c>
      <c r="M20" s="1065">
        <v>0</v>
      </c>
      <c r="N20" s="416">
        <f t="shared" si="5"/>
        <v>0</v>
      </c>
      <c r="O20" s="731" t="str">
        <f t="shared" si="6"/>
        <v>-</v>
      </c>
      <c r="P20" s="166"/>
      <c r="Q20" s="601"/>
      <c r="R20" s="602"/>
      <c r="S20" s="416">
        <f t="shared" si="7"/>
        <v>0</v>
      </c>
      <c r="T20" s="766" t="str">
        <f t="shared" si="1"/>
        <v>-</v>
      </c>
      <c r="U20" s="782"/>
      <c r="V20" s="567">
        <f t="shared" si="8"/>
        <v>0</v>
      </c>
      <c r="W20" s="416">
        <f t="shared" si="9"/>
        <v>0</v>
      </c>
      <c r="X20" s="416">
        <f t="shared" si="10"/>
        <v>0</v>
      </c>
      <c r="Y20" s="766" t="str">
        <f t="shared" si="2"/>
        <v>-</v>
      </c>
      <c r="Z20" s="951"/>
      <c r="AA20" s="604">
        <v>0</v>
      </c>
      <c r="AB20" s="416">
        <f t="shared" si="11"/>
        <v>0</v>
      </c>
      <c r="AC20" s="766" t="str">
        <f t="shared" si="12"/>
        <v>-</v>
      </c>
      <c r="AD20" s="782"/>
      <c r="AE20" s="1591"/>
    </row>
    <row r="21" spans="1:33" x14ac:dyDescent="0.3">
      <c r="A21" s="1335" t="s">
        <v>112</v>
      </c>
      <c r="B21" s="417">
        <v>0</v>
      </c>
      <c r="C21" s="604">
        <v>0</v>
      </c>
      <c r="D21" s="416">
        <f t="shared" si="3"/>
        <v>0</v>
      </c>
      <c r="E21" s="926" t="str">
        <f t="shared" si="13"/>
        <v>-</v>
      </c>
      <c r="F21" s="166"/>
      <c r="G21" s="417">
        <v>0</v>
      </c>
      <c r="H21" s="604">
        <v>0</v>
      </c>
      <c r="I21" s="416">
        <f t="shared" si="4"/>
        <v>0</v>
      </c>
      <c r="J21" s="926" t="str">
        <f t="shared" si="0"/>
        <v>-</v>
      </c>
      <c r="K21" s="910"/>
      <c r="L21" s="1065">
        <v>0</v>
      </c>
      <c r="M21" s="1065">
        <v>0</v>
      </c>
      <c r="N21" s="416">
        <f t="shared" si="5"/>
        <v>0</v>
      </c>
      <c r="O21" s="731" t="str">
        <f t="shared" si="6"/>
        <v>-</v>
      </c>
      <c r="P21" s="166"/>
      <c r="Q21" s="601"/>
      <c r="R21" s="602"/>
      <c r="S21" s="416">
        <f t="shared" si="7"/>
        <v>0</v>
      </c>
      <c r="T21" s="766" t="str">
        <f t="shared" si="1"/>
        <v>-</v>
      </c>
      <c r="U21" s="782"/>
      <c r="V21" s="567">
        <f t="shared" si="8"/>
        <v>0</v>
      </c>
      <c r="W21" s="416">
        <f t="shared" si="9"/>
        <v>0</v>
      </c>
      <c r="X21" s="416">
        <f t="shared" si="10"/>
        <v>0</v>
      </c>
      <c r="Y21" s="766" t="str">
        <f t="shared" si="2"/>
        <v>-</v>
      </c>
      <c r="Z21" s="951"/>
      <c r="AA21" s="604">
        <v>0</v>
      </c>
      <c r="AB21" s="416">
        <f t="shared" si="11"/>
        <v>0</v>
      </c>
      <c r="AC21" s="766" t="str">
        <f t="shared" si="12"/>
        <v>-</v>
      </c>
      <c r="AD21" s="782"/>
      <c r="AE21" s="1595"/>
      <c r="AG21" s="173"/>
    </row>
    <row r="22" spans="1:33" x14ac:dyDescent="0.3">
      <c r="A22" s="476" t="s">
        <v>70</v>
      </c>
      <c r="B22" s="417">
        <v>0</v>
      </c>
      <c r="C22" s="604">
        <v>0</v>
      </c>
      <c r="D22" s="416">
        <f t="shared" si="3"/>
        <v>0</v>
      </c>
      <c r="E22" s="926" t="str">
        <f t="shared" si="13"/>
        <v>-</v>
      </c>
      <c r="F22" s="166"/>
      <c r="G22" s="417">
        <v>0</v>
      </c>
      <c r="H22" s="604">
        <v>0</v>
      </c>
      <c r="I22" s="416">
        <f t="shared" si="4"/>
        <v>0</v>
      </c>
      <c r="J22" s="926" t="str">
        <f t="shared" si="0"/>
        <v>-</v>
      </c>
      <c r="K22" s="910"/>
      <c r="L22" s="1065">
        <v>0</v>
      </c>
      <c r="M22" s="1065">
        <v>0</v>
      </c>
      <c r="N22" s="416">
        <f t="shared" si="5"/>
        <v>0</v>
      </c>
      <c r="O22" s="731" t="str">
        <f t="shared" si="6"/>
        <v>-</v>
      </c>
      <c r="P22" s="782"/>
      <c r="Q22" s="601"/>
      <c r="R22" s="602"/>
      <c r="S22" s="416">
        <f t="shared" si="7"/>
        <v>0</v>
      </c>
      <c r="T22" s="766" t="str">
        <f t="shared" si="1"/>
        <v>-</v>
      </c>
      <c r="U22" s="782"/>
      <c r="V22" s="567">
        <f t="shared" si="8"/>
        <v>0</v>
      </c>
      <c r="W22" s="416">
        <f t="shared" si="9"/>
        <v>0</v>
      </c>
      <c r="X22" s="416">
        <f t="shared" si="10"/>
        <v>0</v>
      </c>
      <c r="Y22" s="766" t="str">
        <f t="shared" si="2"/>
        <v>-</v>
      </c>
      <c r="Z22" s="951"/>
      <c r="AA22" s="604">
        <v>0</v>
      </c>
      <c r="AB22" s="416">
        <f t="shared" si="11"/>
        <v>0</v>
      </c>
      <c r="AC22" s="766" t="str">
        <f t="shared" si="12"/>
        <v>-</v>
      </c>
      <c r="AD22" s="782"/>
      <c r="AE22" s="1596"/>
    </row>
    <row r="23" spans="1:33" x14ac:dyDescent="0.3">
      <c r="A23" s="476" t="s">
        <v>72</v>
      </c>
      <c r="B23" s="417">
        <v>203.5</v>
      </c>
      <c r="C23" s="416">
        <v>737.25</v>
      </c>
      <c r="D23" s="416">
        <f>C23-B23</f>
        <v>533.75</v>
      </c>
      <c r="E23" s="926"/>
      <c r="F23" s="166"/>
      <c r="G23" s="417">
        <v>203.5</v>
      </c>
      <c r="H23" s="416">
        <v>76.790000000000006</v>
      </c>
      <c r="I23" s="416">
        <f t="shared" si="4"/>
        <v>-126.71</v>
      </c>
      <c r="J23" s="926">
        <f t="shared" si="0"/>
        <v>-0.62265356265356264</v>
      </c>
      <c r="K23" s="910"/>
      <c r="L23" s="601">
        <v>203.5</v>
      </c>
      <c r="M23" s="1065">
        <v>0</v>
      </c>
      <c r="N23" s="1065">
        <v>0</v>
      </c>
      <c r="O23" s="731"/>
      <c r="P23" s="782"/>
      <c r="Q23" s="601"/>
      <c r="R23" s="602"/>
      <c r="S23" s="416">
        <f t="shared" si="7"/>
        <v>0</v>
      </c>
      <c r="T23" s="766"/>
      <c r="U23" s="782"/>
      <c r="V23" s="567">
        <f t="shared" si="8"/>
        <v>610.5</v>
      </c>
      <c r="W23" s="416">
        <f t="shared" si="9"/>
        <v>814.04</v>
      </c>
      <c r="X23" s="416">
        <f t="shared" si="10"/>
        <v>203.53999999999996</v>
      </c>
      <c r="Y23" s="766"/>
      <c r="Z23" s="951"/>
      <c r="AA23" s="604">
        <v>814</v>
      </c>
      <c r="AB23" s="416">
        <f t="shared" si="11"/>
        <v>-3.999999999996362E-2</v>
      </c>
      <c r="AC23" s="766">
        <f t="shared" si="12"/>
        <v>-4.9140049140004451E-5</v>
      </c>
      <c r="AD23" s="782"/>
      <c r="AE23" s="1596"/>
    </row>
    <row r="24" spans="1:33" x14ac:dyDescent="0.3">
      <c r="A24" s="476" t="s">
        <v>131</v>
      </c>
      <c r="B24" s="417">
        <v>10080000.25</v>
      </c>
      <c r="C24" s="416">
        <v>9979064.2200000007</v>
      </c>
      <c r="D24" s="416">
        <f t="shared" si="3"/>
        <v>-100936.02999999933</v>
      </c>
      <c r="E24" s="926">
        <f t="shared" si="13"/>
        <v>-1.0013494791331908E-2</v>
      </c>
      <c r="F24" s="166"/>
      <c r="G24" s="417">
        <v>10080000.25</v>
      </c>
      <c r="H24" s="416">
        <v>11624224.27</v>
      </c>
      <c r="I24" s="416">
        <f t="shared" si="4"/>
        <v>1544224.0199999996</v>
      </c>
      <c r="J24" s="926">
        <f t="shared" si="0"/>
        <v>0.15319682358142794</v>
      </c>
      <c r="K24" s="910"/>
      <c r="L24" s="601">
        <v>10080000.25</v>
      </c>
      <c r="M24" s="1042">
        <v>9875431.3800000008</v>
      </c>
      <c r="N24" s="604">
        <f t="shared" si="5"/>
        <v>-204568.86999999918</v>
      </c>
      <c r="O24" s="731">
        <f t="shared" si="6"/>
        <v>-2.0294530250631607E-2</v>
      </c>
      <c r="P24" s="782"/>
      <c r="Q24" s="601"/>
      <c r="R24" s="602"/>
      <c r="S24" s="416">
        <f t="shared" si="7"/>
        <v>0</v>
      </c>
      <c r="T24" s="766" t="str">
        <f t="shared" si="1"/>
        <v>-</v>
      </c>
      <c r="U24" s="782"/>
      <c r="V24" s="567">
        <f t="shared" si="8"/>
        <v>30240000.75</v>
      </c>
      <c r="W24" s="416">
        <f t="shared" si="9"/>
        <v>31478719.870000005</v>
      </c>
      <c r="X24" s="416">
        <f t="shared" si="10"/>
        <v>1238719.1200000048</v>
      </c>
      <c r="Y24" s="766">
        <f t="shared" si="2"/>
        <v>4.0962932846488262E-2</v>
      </c>
      <c r="Z24" s="951"/>
      <c r="AA24" s="604">
        <v>40320001</v>
      </c>
      <c r="AB24" s="416">
        <f>AA24-W24</f>
        <v>8841281.1299999952</v>
      </c>
      <c r="AC24" s="766">
        <f t="shared" si="12"/>
        <v>0.21927780036513381</v>
      </c>
      <c r="AD24" s="782"/>
      <c r="AE24" s="1607"/>
    </row>
    <row r="25" spans="1:33" x14ac:dyDescent="0.3">
      <c r="A25" s="1523" t="s">
        <v>73</v>
      </c>
      <c r="B25" s="1639">
        <f>SUM(B14:B24)</f>
        <v>15309241.25</v>
      </c>
      <c r="C25" s="1610">
        <f t="shared" ref="C25:AD25" si="14">SUM(C14:C24)</f>
        <v>15622980.93</v>
      </c>
      <c r="D25" s="1610">
        <f t="shared" si="14"/>
        <v>313739.68000000098</v>
      </c>
      <c r="E25" s="1640">
        <f>IF(ISERROR(D25/B25),"-",D25/B25)</f>
        <v>2.0493483307018955E-2</v>
      </c>
      <c r="F25" s="1643">
        <f t="shared" si="14"/>
        <v>0</v>
      </c>
      <c r="G25" s="1639">
        <f t="shared" si="14"/>
        <v>15309241.25</v>
      </c>
      <c r="H25" s="1610">
        <f t="shared" si="14"/>
        <v>16084425.039999999</v>
      </c>
      <c r="I25" s="1610">
        <f t="shared" si="14"/>
        <v>775183.78999999969</v>
      </c>
      <c r="J25" s="1640">
        <f>IF(ISERROR(I25/G25),"-",I25/G25)</f>
        <v>5.0635023469892716E-2</v>
      </c>
      <c r="K25" s="1631">
        <f t="shared" si="14"/>
        <v>0</v>
      </c>
      <c r="L25" s="1610">
        <f t="shared" si="14"/>
        <v>15309241.25</v>
      </c>
      <c r="M25" s="1610">
        <f t="shared" si="14"/>
        <v>22600037.170000002</v>
      </c>
      <c r="N25" s="1610">
        <f>SUM(N14:N24)</f>
        <v>7290999.4199999999</v>
      </c>
      <c r="O25" s="1611">
        <f>IF(ISERROR(N25/L25),"-",N25/L25)</f>
        <v>0.47624825430195633</v>
      </c>
      <c r="P25" s="1610">
        <f t="shared" si="14"/>
        <v>0</v>
      </c>
      <c r="Q25" s="1610">
        <f>SUM(Q14:Q24)</f>
        <v>0</v>
      </c>
      <c r="R25" s="1610">
        <f t="shared" si="14"/>
        <v>0</v>
      </c>
      <c r="S25" s="1610">
        <f>SUM(S14:S24)</f>
        <v>0</v>
      </c>
      <c r="T25" s="1624" t="str">
        <f>IF(ISERROR(S25/Q25),"-",S25/Q25)</f>
        <v>-</v>
      </c>
      <c r="U25" s="1632">
        <f t="shared" si="14"/>
        <v>0</v>
      </c>
      <c r="V25" s="1631">
        <f>SUM(V14:V24)</f>
        <v>45927723.75</v>
      </c>
      <c r="W25" s="1610">
        <f t="shared" si="14"/>
        <v>54307443.140000001</v>
      </c>
      <c r="X25" s="1610">
        <f>SUM(X14:X24)</f>
        <v>8379719.3900000062</v>
      </c>
      <c r="Y25" s="1624">
        <f>IF(ISERROR(X25/V25),"-",X25/V25)</f>
        <v>0.18245448948468748</v>
      </c>
      <c r="Z25" s="1632">
        <f t="shared" si="14"/>
        <v>0</v>
      </c>
      <c r="AA25" s="1631">
        <f t="shared" si="14"/>
        <v>63536964</v>
      </c>
      <c r="AB25" s="1610">
        <f>SUM(AB14:AB24)</f>
        <v>9229520.8599999938</v>
      </c>
      <c r="AC25" s="1422">
        <f t="shared" si="12"/>
        <v>0.14526222656782897</v>
      </c>
      <c r="AD25" s="1632">
        <f t="shared" si="14"/>
        <v>0</v>
      </c>
      <c r="AE25" s="1591"/>
    </row>
    <row r="26" spans="1:33" x14ac:dyDescent="0.3">
      <c r="A26" s="1608"/>
      <c r="B26" s="1041"/>
      <c r="C26" s="899"/>
      <c r="E26" s="194" t="str">
        <f>IF(ISERROR(D27/B27),"-",D27/B27)</f>
        <v>-</v>
      </c>
      <c r="F26" s="166"/>
      <c r="G26" s="1041"/>
      <c r="H26" s="899"/>
      <c r="J26" s="195" t="str">
        <f>IF(ISERROR(I27/G27),"-",I27/G27)</f>
        <v>-</v>
      </c>
      <c r="K26" s="910"/>
      <c r="L26" s="1041"/>
      <c r="M26" s="899"/>
      <c r="N26" s="900"/>
      <c r="O26" s="901" t="str">
        <f>IF(ISERROR(N27/L27),"-",N27/L27)</f>
        <v>-</v>
      </c>
      <c r="P26" s="782"/>
      <c r="Q26" s="900"/>
      <c r="R26" s="899"/>
      <c r="T26" s="1212" t="str">
        <f>IF(ISERROR(S27/Q27),"-",S27/Q27)</f>
        <v>-</v>
      </c>
      <c r="U26" s="782"/>
      <c r="V26" s="900"/>
      <c r="W26" s="899"/>
      <c r="Y26" s="769"/>
      <c r="Z26" s="951"/>
      <c r="AA26" s="900"/>
      <c r="AB26" s="899"/>
      <c r="AC26" s="124"/>
      <c r="AD26" s="782"/>
      <c r="AE26" s="1609"/>
    </row>
    <row r="27" spans="1:33" x14ac:dyDescent="0.3">
      <c r="A27" s="483" t="s">
        <v>74</v>
      </c>
      <c r="B27" s="414">
        <v>0</v>
      </c>
      <c r="C27" s="415">
        <v>0</v>
      </c>
      <c r="D27" s="415">
        <f>C27-B27</f>
        <v>0</v>
      </c>
      <c r="E27" s="925"/>
      <c r="F27" s="160"/>
      <c r="G27" s="426">
        <v>0</v>
      </c>
      <c r="H27" s="427">
        <v>0</v>
      </c>
      <c r="I27" s="415">
        <f>H27-G27</f>
        <v>0</v>
      </c>
      <c r="J27" s="1024"/>
      <c r="K27" s="909"/>
      <c r="L27" s="567">
        <v>0</v>
      </c>
      <c r="M27" s="415">
        <v>0</v>
      </c>
      <c r="N27" s="415">
        <v>0</v>
      </c>
      <c r="O27" s="1025"/>
      <c r="P27" s="781"/>
      <c r="Q27" s="602">
        <v>0</v>
      </c>
      <c r="R27" s="1018">
        <v>0</v>
      </c>
      <c r="S27" s="567">
        <f>Q27-R27</f>
        <v>0</v>
      </c>
      <c r="T27" s="1625" t="str">
        <f>IF(ISERROR(#REF!/#REF!),"-",#REF!/#REF!)</f>
        <v>-</v>
      </c>
      <c r="U27" s="781"/>
      <c r="V27" s="567">
        <f>B27+G27+L27+Q27</f>
        <v>0</v>
      </c>
      <c r="W27" s="415">
        <f>C27+H27+M27+R27</f>
        <v>0</v>
      </c>
      <c r="X27" s="415">
        <f>W27-V27</f>
        <v>0</v>
      </c>
      <c r="Y27" s="765"/>
      <c r="Z27" s="950"/>
      <c r="AA27" s="567">
        <v>0</v>
      </c>
      <c r="AB27" s="415">
        <f>AA27-W27</f>
        <v>0</v>
      </c>
      <c r="AC27" s="765" t="str">
        <f>IF(ISERROR(AB27/AA27),"-",AB27/AA27)</f>
        <v>-</v>
      </c>
      <c r="AD27" s="781"/>
      <c r="AE27" s="1597"/>
    </row>
    <row r="28" spans="1:33" x14ac:dyDescent="0.3">
      <c r="A28" s="1612"/>
      <c r="B28" s="1646"/>
      <c r="C28" s="1613"/>
      <c r="D28" s="1614"/>
      <c r="E28" s="1615"/>
      <c r="F28" s="1644"/>
      <c r="G28" s="1641"/>
      <c r="H28" s="1614"/>
      <c r="I28" s="1614"/>
      <c r="J28" s="1615"/>
      <c r="K28" s="1637"/>
      <c r="L28" s="1613"/>
      <c r="M28" s="1614"/>
      <c r="N28" s="1614"/>
      <c r="O28" s="1616"/>
      <c r="P28" s="1023"/>
      <c r="Q28" s="1613"/>
      <c r="R28" s="1617"/>
      <c r="S28" s="1613"/>
      <c r="T28" s="1626"/>
      <c r="U28" s="1023"/>
      <c r="V28" s="1613"/>
      <c r="W28" s="1614"/>
      <c r="X28" s="1614"/>
      <c r="Y28" s="1626"/>
      <c r="Z28" s="1635"/>
      <c r="AA28" s="1634"/>
      <c r="AB28" s="1618"/>
      <c r="AC28" s="1619"/>
      <c r="AD28" s="784"/>
      <c r="AE28" s="1620"/>
    </row>
    <row r="29" spans="1:33" x14ac:dyDescent="0.3">
      <c r="A29" s="1523" t="s">
        <v>75</v>
      </c>
      <c r="B29" s="1491">
        <f>B25+B27</f>
        <v>15309241.25</v>
      </c>
      <c r="C29" s="1331">
        <f>C25+C27</f>
        <v>15622980.93</v>
      </c>
      <c r="D29" s="1331">
        <f>D25+D27</f>
        <v>313739.68000000098</v>
      </c>
      <c r="E29" s="1642">
        <f>IF(ISERROR(D29/B29),"-",D29/B29)</f>
        <v>2.0493483307018955E-2</v>
      </c>
      <c r="F29" s="1645"/>
      <c r="G29" s="1491">
        <f>G25+G27</f>
        <v>15309241.25</v>
      </c>
      <c r="H29" s="1331">
        <f>H25+H27</f>
        <v>16084425.039999999</v>
      </c>
      <c r="I29" s="1331">
        <f>I25+I27</f>
        <v>775183.78999999969</v>
      </c>
      <c r="J29" s="1642">
        <f>IF(ISERROR(I29/G29),"-",I29/G29)</f>
        <v>5.0635023469892716E-2</v>
      </c>
      <c r="K29" s="1638"/>
      <c r="L29" s="1331">
        <f>L25+L27</f>
        <v>15309241.25</v>
      </c>
      <c r="M29" s="1331">
        <f>M25+M27</f>
        <v>22600037.170000002</v>
      </c>
      <c r="N29" s="1331">
        <f>N25+N27</f>
        <v>7290999.4199999999</v>
      </c>
      <c r="O29" s="1623">
        <f>IF(ISERROR(N29/L29),"-",N29/L29)</f>
        <v>0.47624825430195633</v>
      </c>
      <c r="P29" s="1622"/>
      <c r="Q29" s="1331">
        <f>Q25+Q27</f>
        <v>0</v>
      </c>
      <c r="R29" s="1331">
        <f>R25+R27</f>
        <v>0</v>
      </c>
      <c r="S29" s="1331">
        <f>S25+S27</f>
        <v>0</v>
      </c>
      <c r="T29" s="1627" t="str">
        <f>IF(ISERROR(S29/Q29),"-",S29/Q29)</f>
        <v>-</v>
      </c>
      <c r="U29" s="1633"/>
      <c r="V29" s="1631">
        <f>V25+V27</f>
        <v>45927723.75</v>
      </c>
      <c r="W29" s="1610">
        <f>W25+W27</f>
        <v>54307443.140000001</v>
      </c>
      <c r="X29" s="1610">
        <f>X25+X27</f>
        <v>8379719.3900000062</v>
      </c>
      <c r="Y29" s="1627">
        <f>IF(ISERROR(X29/V29),"-",X29/V29)</f>
        <v>0.18245448948468748</v>
      </c>
      <c r="Z29" s="1636"/>
      <c r="AA29" s="1631">
        <f>AA25+AA27</f>
        <v>63536964</v>
      </c>
      <c r="AB29" s="1610">
        <f>AB25+AB27</f>
        <v>9229520.8599999938</v>
      </c>
      <c r="AC29" s="1627">
        <f>IF(ISERROR(AB29/AA29),"-",AB29/AA29)</f>
        <v>0.14526222656782897</v>
      </c>
      <c r="AD29" s="1661"/>
      <c r="AE29" s="1591"/>
    </row>
    <row r="30" spans="1:33" x14ac:dyDescent="0.3">
      <c r="A30" s="497"/>
      <c r="B30" s="417"/>
      <c r="C30" s="604"/>
      <c r="D30" s="567"/>
      <c r="E30" s="225"/>
      <c r="F30" s="166"/>
      <c r="G30" s="426"/>
      <c r="H30" s="427"/>
      <c r="I30" s="427"/>
      <c r="J30" s="228"/>
      <c r="K30" s="910"/>
      <c r="L30" s="417"/>
      <c r="M30" s="604"/>
      <c r="N30" s="567"/>
      <c r="O30" s="199"/>
      <c r="P30" s="782"/>
      <c r="Q30" s="601"/>
      <c r="R30" s="1019"/>
      <c r="S30" s="602"/>
      <c r="T30" s="1216"/>
      <c r="U30" s="782"/>
      <c r="V30" s="567"/>
      <c r="W30" s="415"/>
      <c r="X30" s="415"/>
      <c r="Y30" s="769"/>
      <c r="Z30" s="951"/>
      <c r="AA30" s="567"/>
      <c r="AB30" s="415"/>
      <c r="AC30" s="769"/>
      <c r="AD30" s="782"/>
      <c r="AE30" s="1621"/>
    </row>
    <row r="31" spans="1:33" x14ac:dyDescent="0.3">
      <c r="A31" s="483" t="s">
        <v>76</v>
      </c>
      <c r="B31" s="417"/>
      <c r="C31" s="604"/>
      <c r="D31" s="416"/>
      <c r="E31" s="1015"/>
      <c r="F31" s="166"/>
      <c r="G31" s="601"/>
      <c r="H31" s="1019"/>
      <c r="I31" s="1019"/>
      <c r="J31" s="1016"/>
      <c r="K31" s="910"/>
      <c r="L31" s="417"/>
      <c r="M31" s="604"/>
      <c r="N31" s="567"/>
      <c r="O31" s="199"/>
      <c r="P31" s="782"/>
      <c r="Q31" s="602"/>
      <c r="R31" s="1018"/>
      <c r="S31" s="1042"/>
      <c r="T31" s="1628"/>
      <c r="U31" s="782"/>
      <c r="V31" s="567"/>
      <c r="W31" s="603"/>
      <c r="X31" s="416"/>
      <c r="Y31" s="124"/>
      <c r="Z31" s="951"/>
      <c r="AA31" s="604"/>
      <c r="AB31" s="604"/>
      <c r="AC31" s="124"/>
      <c r="AD31" s="782"/>
      <c r="AE31" s="1596"/>
    </row>
    <row r="32" spans="1:33" x14ac:dyDescent="0.3">
      <c r="A32" s="483" t="s">
        <v>77</v>
      </c>
      <c r="B32" s="1041"/>
      <c r="C32" s="900"/>
      <c r="D32" s="899"/>
      <c r="E32" s="1022"/>
      <c r="F32" s="171"/>
      <c r="G32" s="1041"/>
      <c r="H32" s="900"/>
      <c r="I32" s="900"/>
      <c r="J32" s="1022"/>
      <c r="K32" s="956"/>
      <c r="L32" s="1041"/>
      <c r="M32" s="900"/>
      <c r="N32" s="900"/>
      <c r="O32" s="1020"/>
      <c r="P32" s="783"/>
      <c r="Q32" s="900"/>
      <c r="R32" s="900"/>
      <c r="S32" s="899"/>
      <c r="T32" s="1629"/>
      <c r="U32" s="783"/>
      <c r="V32" s="900"/>
      <c r="W32" s="900"/>
      <c r="X32" s="899"/>
      <c r="Y32" s="1629"/>
      <c r="Z32" s="951"/>
      <c r="AA32" s="900"/>
      <c r="AB32" s="900"/>
      <c r="AC32" s="1027"/>
      <c r="AD32" s="783"/>
      <c r="AE32" s="1598"/>
    </row>
    <row r="33" spans="1:31" ht="19.5" thickBot="1" x14ac:dyDescent="0.35">
      <c r="A33" s="476" t="s">
        <v>78</v>
      </c>
      <c r="B33" s="417">
        <v>1071670.5</v>
      </c>
      <c r="C33" s="604">
        <v>736533.74</v>
      </c>
      <c r="D33" s="416">
        <f t="shared" ref="D33:D39" si="15">C33-B33</f>
        <v>-335136.76</v>
      </c>
      <c r="E33" s="1003">
        <f t="shared" ref="E33:E39" si="16">IF(ISERROR(D33/B33),"-",D33/B33)</f>
        <v>-0.31272369632270369</v>
      </c>
      <c r="F33" s="171"/>
      <c r="G33" s="601">
        <v>1071670.5</v>
      </c>
      <c r="H33" s="1019">
        <v>816979.23</v>
      </c>
      <c r="I33" s="604">
        <f t="shared" ref="I33:I39" si="17">H33-G33</f>
        <v>-254691.27000000002</v>
      </c>
      <c r="J33" s="1017">
        <f t="shared" ref="J33:J39" si="18">IF(ISERROR(I33/G33),"-",I33/G33)</f>
        <v>-0.23765818878097328</v>
      </c>
      <c r="K33" s="171"/>
      <c r="L33" s="417">
        <v>1071670.5</v>
      </c>
      <c r="M33" s="604">
        <v>804952.04</v>
      </c>
      <c r="N33" s="604">
        <f t="shared" ref="N33:N39" si="19">M33-L33</f>
        <v>-266718.45999999996</v>
      </c>
      <c r="O33" s="901">
        <f t="shared" ref="O33:O39" si="20">IF(ISERROR(N33/L33),"-",N33/L33)</f>
        <v>-0.24888103199630854</v>
      </c>
      <c r="P33" s="783"/>
      <c r="Q33" s="601"/>
      <c r="R33" s="1019"/>
      <c r="S33" s="416">
        <f t="shared" ref="S33:S39" si="21">R33-Q33</f>
        <v>0</v>
      </c>
      <c r="T33" s="1442" t="str">
        <f t="shared" ref="T33:T40" si="22">IF(ISERROR(S33/Q33),"-",S33/Q33)</f>
        <v>-</v>
      </c>
      <c r="U33" s="783"/>
      <c r="V33" s="604">
        <f t="shared" ref="V33:W39" si="23">B33+G33+L33+Q33</f>
        <v>3215011.5</v>
      </c>
      <c r="W33" s="604">
        <f t="shared" si="23"/>
        <v>2358465.0099999998</v>
      </c>
      <c r="X33" s="416">
        <f t="shared" ref="X33:X39" si="24">W33-V33</f>
        <v>-856546.49000000022</v>
      </c>
      <c r="Y33" s="1313">
        <f t="shared" ref="Y33:Y39" si="25">IF(ISERROR(X33/V33),"-",X33/V33)</f>
        <v>-0.2664209723666619</v>
      </c>
      <c r="Z33" s="951"/>
      <c r="AA33" s="604">
        <v>4289242</v>
      </c>
      <c r="AB33" s="604">
        <f t="shared" ref="AB33:AB40" si="26">AA33-W33</f>
        <v>1930776.9900000002</v>
      </c>
      <c r="AC33" s="766">
        <f t="shared" ref="AC33:AC41" si="27">IF(ISERROR(AB33/AA33),"-",AB33/AA33)</f>
        <v>0.45014410238452396</v>
      </c>
      <c r="AD33" s="928"/>
      <c r="AE33" s="1593"/>
    </row>
    <row r="34" spans="1:31" x14ac:dyDescent="0.3">
      <c r="A34" s="476" t="s">
        <v>79</v>
      </c>
      <c r="B34" s="417">
        <v>0</v>
      </c>
      <c r="C34" s="604">
        <v>0</v>
      </c>
      <c r="D34" s="416">
        <f t="shared" si="15"/>
        <v>0</v>
      </c>
      <c r="E34" s="1003" t="str">
        <f t="shared" si="16"/>
        <v>-</v>
      </c>
      <c r="F34" s="171"/>
      <c r="G34" s="426">
        <v>0</v>
      </c>
      <c r="H34" s="1018">
        <v>0</v>
      </c>
      <c r="I34" s="604">
        <f t="shared" si="17"/>
        <v>0</v>
      </c>
      <c r="J34" s="195" t="str">
        <f t="shared" si="18"/>
        <v>-</v>
      </c>
      <c r="K34" s="171"/>
      <c r="L34" s="417">
        <v>0</v>
      </c>
      <c r="M34" s="567">
        <v>0</v>
      </c>
      <c r="N34" s="416">
        <f t="shared" si="19"/>
        <v>0</v>
      </c>
      <c r="O34" s="901" t="str">
        <f t="shared" si="20"/>
        <v>-</v>
      </c>
      <c r="P34" s="171"/>
      <c r="Q34" s="601"/>
      <c r="R34" s="602"/>
      <c r="S34" s="416">
        <f t="shared" si="21"/>
        <v>0</v>
      </c>
      <c r="T34" s="1212" t="str">
        <f t="shared" si="22"/>
        <v>-</v>
      </c>
      <c r="U34" s="783"/>
      <c r="V34" s="604">
        <f t="shared" si="23"/>
        <v>0</v>
      </c>
      <c r="W34" s="604">
        <f t="shared" si="23"/>
        <v>0</v>
      </c>
      <c r="X34" s="604">
        <f t="shared" si="24"/>
        <v>0</v>
      </c>
      <c r="Y34" s="773" t="str">
        <f t="shared" si="25"/>
        <v>-</v>
      </c>
      <c r="Z34" s="951"/>
      <c r="AA34" s="567">
        <v>50000</v>
      </c>
      <c r="AB34" s="415">
        <f t="shared" si="26"/>
        <v>50000</v>
      </c>
      <c r="AC34" s="773">
        <f t="shared" si="27"/>
        <v>1</v>
      </c>
      <c r="AD34" s="783"/>
      <c r="AE34" s="1599"/>
    </row>
    <row r="35" spans="1:31" x14ac:dyDescent="0.3">
      <c r="A35" s="476" t="s">
        <v>81</v>
      </c>
      <c r="B35" s="414">
        <v>216250</v>
      </c>
      <c r="C35" s="603">
        <v>45606.6</v>
      </c>
      <c r="D35" s="604">
        <f t="shared" si="15"/>
        <v>-170643.4</v>
      </c>
      <c r="E35" s="194">
        <f t="shared" si="16"/>
        <v>-0.78910242774566475</v>
      </c>
      <c r="F35" s="230"/>
      <c r="G35" s="426">
        <v>216250</v>
      </c>
      <c r="H35" s="427">
        <v>45606.6</v>
      </c>
      <c r="I35" s="416">
        <f t="shared" si="17"/>
        <v>-170643.4</v>
      </c>
      <c r="J35" s="195">
        <f t="shared" si="18"/>
        <v>-0.78910242774566475</v>
      </c>
      <c r="K35" s="230"/>
      <c r="L35" s="417">
        <v>216250</v>
      </c>
      <c r="M35" s="567">
        <v>0</v>
      </c>
      <c r="N35" s="416">
        <f t="shared" si="19"/>
        <v>-216250</v>
      </c>
      <c r="O35" s="901">
        <f t="shared" si="20"/>
        <v>-1</v>
      </c>
      <c r="P35" s="230"/>
      <c r="Q35" s="601"/>
      <c r="R35" s="602"/>
      <c r="S35" s="416">
        <f t="shared" si="21"/>
        <v>0</v>
      </c>
      <c r="T35" s="1212" t="str">
        <f t="shared" si="22"/>
        <v>-</v>
      </c>
      <c r="U35" s="785"/>
      <c r="V35" s="567">
        <f t="shared" si="23"/>
        <v>648750</v>
      </c>
      <c r="W35" s="415">
        <f t="shared" si="23"/>
        <v>91213.2</v>
      </c>
      <c r="X35" s="416">
        <f t="shared" si="24"/>
        <v>-557536.80000000005</v>
      </c>
      <c r="Y35" s="773">
        <f t="shared" si="25"/>
        <v>-0.85940161849710994</v>
      </c>
      <c r="Z35" s="953"/>
      <c r="AA35" s="567">
        <v>865000</v>
      </c>
      <c r="AB35" s="415">
        <f t="shared" si="26"/>
        <v>773786.8</v>
      </c>
      <c r="AC35" s="773">
        <f t="shared" si="27"/>
        <v>0.89455121387283243</v>
      </c>
      <c r="AD35" s="785"/>
      <c r="AE35" s="1593"/>
    </row>
    <row r="36" spans="1:31" x14ac:dyDescent="0.3">
      <c r="A36" s="476" t="s">
        <v>106</v>
      </c>
      <c r="B36" s="414">
        <v>43000</v>
      </c>
      <c r="C36" s="415">
        <v>31561.119999999999</v>
      </c>
      <c r="D36" s="416">
        <f t="shared" si="15"/>
        <v>-11438.880000000001</v>
      </c>
      <c r="E36" s="194">
        <f t="shared" si="16"/>
        <v>-0.26602046511627908</v>
      </c>
      <c r="F36" s="230"/>
      <c r="G36" s="426">
        <v>43000</v>
      </c>
      <c r="H36" s="427">
        <v>31916.32</v>
      </c>
      <c r="I36" s="416">
        <f t="shared" si="17"/>
        <v>-11083.68</v>
      </c>
      <c r="J36" s="195">
        <f t="shared" si="18"/>
        <v>-0.25775999999999999</v>
      </c>
      <c r="K36" s="230"/>
      <c r="L36" s="417">
        <v>43000</v>
      </c>
      <c r="M36" s="567">
        <v>10607.14</v>
      </c>
      <c r="N36" s="416">
        <f t="shared" si="19"/>
        <v>-32392.86</v>
      </c>
      <c r="O36" s="196">
        <f t="shared" si="20"/>
        <v>-0.75332232558139534</v>
      </c>
      <c r="P36" s="230"/>
      <c r="Q36" s="601"/>
      <c r="R36" s="602"/>
      <c r="S36" s="416">
        <f t="shared" si="21"/>
        <v>0</v>
      </c>
      <c r="T36" s="1212" t="str">
        <f t="shared" si="22"/>
        <v>-</v>
      </c>
      <c r="U36" s="785"/>
      <c r="V36" s="567">
        <f t="shared" si="23"/>
        <v>129000</v>
      </c>
      <c r="W36" s="415">
        <f t="shared" si="23"/>
        <v>74084.58</v>
      </c>
      <c r="X36" s="416">
        <f t="shared" si="24"/>
        <v>-54915.42</v>
      </c>
      <c r="Y36" s="773">
        <f t="shared" si="25"/>
        <v>-0.42570093023255812</v>
      </c>
      <c r="Z36" s="953"/>
      <c r="AA36" s="567">
        <v>174600</v>
      </c>
      <c r="AB36" s="415">
        <f t="shared" si="26"/>
        <v>100515.42</v>
      </c>
      <c r="AC36" s="773">
        <f t="shared" si="27"/>
        <v>0.57568969072164944</v>
      </c>
      <c r="AD36" s="785"/>
      <c r="AE36" s="1600"/>
    </row>
    <row r="37" spans="1:31" x14ac:dyDescent="0.3">
      <c r="A37" s="476" t="s">
        <v>80</v>
      </c>
      <c r="B37" s="414">
        <v>17550</v>
      </c>
      <c r="C37" s="415">
        <v>12829.25</v>
      </c>
      <c r="D37" s="416">
        <f t="shared" si="15"/>
        <v>-4720.75</v>
      </c>
      <c r="E37" s="194">
        <f t="shared" si="16"/>
        <v>-0.26898860398860397</v>
      </c>
      <c r="F37" s="171"/>
      <c r="G37" s="426">
        <v>17550</v>
      </c>
      <c r="H37" s="427">
        <v>13055.04</v>
      </c>
      <c r="I37" s="416">
        <f t="shared" si="17"/>
        <v>-4494.9599999999991</v>
      </c>
      <c r="J37" s="195">
        <f t="shared" si="18"/>
        <v>-0.2561230769230769</v>
      </c>
      <c r="K37" s="171"/>
      <c r="L37" s="417">
        <v>17550</v>
      </c>
      <c r="M37" s="567">
        <v>16728.27</v>
      </c>
      <c r="N37" s="416">
        <f t="shared" si="19"/>
        <v>-821.72999999999956</v>
      </c>
      <c r="O37" s="196">
        <f t="shared" si="20"/>
        <v>-4.6822222222222196E-2</v>
      </c>
      <c r="P37" s="171"/>
      <c r="Q37" s="601"/>
      <c r="R37" s="602"/>
      <c r="S37" s="416">
        <f t="shared" si="21"/>
        <v>0</v>
      </c>
      <c r="T37" s="1212" t="str">
        <f t="shared" si="22"/>
        <v>-</v>
      </c>
      <c r="U37" s="783"/>
      <c r="V37" s="567">
        <f t="shared" si="23"/>
        <v>52650</v>
      </c>
      <c r="W37" s="415">
        <f t="shared" si="23"/>
        <v>42612.56</v>
      </c>
      <c r="X37" s="416">
        <f t="shared" si="24"/>
        <v>-10037.440000000002</v>
      </c>
      <c r="Y37" s="773">
        <f t="shared" si="25"/>
        <v>-0.19064463437796775</v>
      </c>
      <c r="Z37" s="951"/>
      <c r="AA37" s="567">
        <v>81000</v>
      </c>
      <c r="AB37" s="415">
        <f t="shared" si="26"/>
        <v>38387.440000000002</v>
      </c>
      <c r="AC37" s="773">
        <f t="shared" si="27"/>
        <v>0.47391901234567901</v>
      </c>
      <c r="AD37" s="783"/>
      <c r="AE37" s="1593"/>
    </row>
    <row r="38" spans="1:31" x14ac:dyDescent="0.3">
      <c r="A38" s="476" t="s">
        <v>130</v>
      </c>
      <c r="B38" s="414">
        <v>60000</v>
      </c>
      <c r="C38" s="415">
        <v>44251.53</v>
      </c>
      <c r="D38" s="416">
        <f t="shared" si="15"/>
        <v>-15748.470000000001</v>
      </c>
      <c r="E38" s="194">
        <f t="shared" si="16"/>
        <v>-0.2624745</v>
      </c>
      <c r="F38" s="171"/>
      <c r="G38" s="426">
        <v>60000</v>
      </c>
      <c r="H38" s="427">
        <v>43693.89</v>
      </c>
      <c r="I38" s="416">
        <f t="shared" si="17"/>
        <v>-16306.11</v>
      </c>
      <c r="J38" s="195">
        <f t="shared" si="18"/>
        <v>-0.27176850000000002</v>
      </c>
      <c r="K38" s="171"/>
      <c r="L38" s="417">
        <v>60000</v>
      </c>
      <c r="M38" s="567">
        <v>43560.49</v>
      </c>
      <c r="N38" s="416">
        <f t="shared" si="19"/>
        <v>-16439.510000000002</v>
      </c>
      <c r="O38" s="196">
        <f t="shared" si="20"/>
        <v>-0.27399183333333338</v>
      </c>
      <c r="P38" s="171"/>
      <c r="Q38" s="601"/>
      <c r="R38" s="602"/>
      <c r="S38" s="416">
        <f t="shared" si="21"/>
        <v>0</v>
      </c>
      <c r="T38" s="1212" t="str">
        <f t="shared" si="22"/>
        <v>-</v>
      </c>
      <c r="U38" s="783"/>
      <c r="V38" s="567">
        <f t="shared" si="23"/>
        <v>180000</v>
      </c>
      <c r="W38" s="415">
        <f t="shared" si="23"/>
        <v>131505.91</v>
      </c>
      <c r="X38" s="416">
        <f t="shared" si="24"/>
        <v>-48494.09</v>
      </c>
      <c r="Y38" s="773">
        <f t="shared" si="25"/>
        <v>-0.26941161111111112</v>
      </c>
      <c r="Z38" s="951"/>
      <c r="AA38" s="567">
        <v>200000</v>
      </c>
      <c r="AB38" s="415">
        <f t="shared" si="26"/>
        <v>68494.09</v>
      </c>
      <c r="AC38" s="773">
        <f t="shared" si="27"/>
        <v>0.34247044999999998</v>
      </c>
      <c r="AD38" s="783"/>
      <c r="AE38" s="1600"/>
    </row>
    <row r="39" spans="1:31" x14ac:dyDescent="0.3">
      <c r="A39" s="476" t="s">
        <v>129</v>
      </c>
      <c r="B39" s="414">
        <v>1250</v>
      </c>
      <c r="C39" s="415">
        <v>0</v>
      </c>
      <c r="D39" s="416">
        <f t="shared" si="15"/>
        <v>-1250</v>
      </c>
      <c r="E39" s="194">
        <f t="shared" si="16"/>
        <v>-1</v>
      </c>
      <c r="F39" s="171"/>
      <c r="G39" s="426">
        <v>1250</v>
      </c>
      <c r="H39" s="427">
        <v>0</v>
      </c>
      <c r="I39" s="416">
        <f t="shared" si="17"/>
        <v>-1250</v>
      </c>
      <c r="J39" s="195">
        <f t="shared" si="18"/>
        <v>-1</v>
      </c>
      <c r="K39" s="171"/>
      <c r="L39" s="417">
        <v>1250</v>
      </c>
      <c r="M39" s="567">
        <v>0</v>
      </c>
      <c r="N39" s="416">
        <f t="shared" si="19"/>
        <v>-1250</v>
      </c>
      <c r="O39" s="196">
        <f t="shared" si="20"/>
        <v>-1</v>
      </c>
      <c r="P39" s="171"/>
      <c r="Q39" s="601"/>
      <c r="R39" s="602"/>
      <c r="S39" s="416">
        <f t="shared" si="21"/>
        <v>0</v>
      </c>
      <c r="T39" s="1212" t="str">
        <f t="shared" si="22"/>
        <v>-</v>
      </c>
      <c r="U39" s="783"/>
      <c r="V39" s="567">
        <f t="shared" si="23"/>
        <v>3750</v>
      </c>
      <c r="W39" s="415">
        <f t="shared" si="23"/>
        <v>0</v>
      </c>
      <c r="X39" s="416">
        <f t="shared" si="24"/>
        <v>-3750</v>
      </c>
      <c r="Y39" s="773">
        <f t="shared" si="25"/>
        <v>-1</v>
      </c>
      <c r="Z39" s="951"/>
      <c r="AA39" s="567">
        <v>5000</v>
      </c>
      <c r="AB39" s="415">
        <f t="shared" si="26"/>
        <v>5000</v>
      </c>
      <c r="AC39" s="773">
        <f t="shared" si="27"/>
        <v>1</v>
      </c>
      <c r="AD39" s="783"/>
      <c r="AE39" s="1600"/>
    </row>
    <row r="40" spans="1:31" x14ac:dyDescent="0.3">
      <c r="A40" s="491" t="s">
        <v>40</v>
      </c>
      <c r="B40" s="440">
        <v>0.25</v>
      </c>
      <c r="C40" s="441">
        <v>0</v>
      </c>
      <c r="D40" s="416">
        <f>C40-B40</f>
        <v>-0.25</v>
      </c>
      <c r="E40" s="233">
        <f>IF(ISERROR(D40/B40),"-",D40/B40)</f>
        <v>-1</v>
      </c>
      <c r="F40" s="166"/>
      <c r="G40" s="442">
        <v>0.25</v>
      </c>
      <c r="H40" s="443">
        <v>0</v>
      </c>
      <c r="I40" s="416">
        <f>H40-G40</f>
        <v>-0.25</v>
      </c>
      <c r="J40" s="234">
        <f>IF(ISERROR(I40/G40),"-",I40/G40)</f>
        <v>-1</v>
      </c>
      <c r="K40" s="166"/>
      <c r="L40" s="998">
        <v>0.25</v>
      </c>
      <c r="M40" s="567">
        <v>0</v>
      </c>
      <c r="N40" s="416">
        <f>M40-L40</f>
        <v>-0.25</v>
      </c>
      <c r="O40" s="235">
        <f>IF(ISERROR(N40/L40),"-",N40/L40)</f>
        <v>-1</v>
      </c>
      <c r="P40" s="166"/>
      <c r="Q40" s="601"/>
      <c r="R40" s="602"/>
      <c r="S40" s="416">
        <f>R40-Q40</f>
        <v>0</v>
      </c>
      <c r="T40" s="1212" t="str">
        <f t="shared" si="22"/>
        <v>-</v>
      </c>
      <c r="U40" s="782"/>
      <c r="V40" s="567">
        <f>B40+G40+L40+Q40</f>
        <v>0.75</v>
      </c>
      <c r="W40" s="415">
        <f>C40+H40+M40+R40</f>
        <v>0</v>
      </c>
      <c r="X40" s="416">
        <f>W40-V40</f>
        <v>-0.75</v>
      </c>
      <c r="Y40" s="774">
        <f>IF(ISERROR(X40/V40),"-",X40/V40)</f>
        <v>-1</v>
      </c>
      <c r="Z40" s="951"/>
      <c r="AA40" s="578">
        <v>0</v>
      </c>
      <c r="AB40" s="415">
        <f t="shared" si="26"/>
        <v>0</v>
      </c>
      <c r="AC40" s="773" t="str">
        <f t="shared" si="27"/>
        <v>-</v>
      </c>
      <c r="AD40" s="782"/>
      <c r="AE40" s="1598"/>
    </row>
    <row r="41" spans="1:31" x14ac:dyDescent="0.3">
      <c r="A41" s="477" t="s">
        <v>83</v>
      </c>
      <c r="B41" s="432">
        <f>SUM(B33:B40)</f>
        <v>1409720.75</v>
      </c>
      <c r="C41" s="754">
        <f>SUM(C33:C40)</f>
        <v>870782.24</v>
      </c>
      <c r="D41" s="433">
        <f>SUM(D33:D40)</f>
        <v>-538938.51</v>
      </c>
      <c r="E41" s="211">
        <f>IF(ISERROR(D41/B41),"-",D41/B41)</f>
        <v>-0.38230160831498011</v>
      </c>
      <c r="F41" s="171"/>
      <c r="G41" s="432">
        <f>SUM(G33:G40)</f>
        <v>1409720.75</v>
      </c>
      <c r="H41" s="754">
        <f>SUM(H33:H40)</f>
        <v>951251.08</v>
      </c>
      <c r="I41" s="433">
        <f>SUM(I33:I40)</f>
        <v>-458469.67000000004</v>
      </c>
      <c r="J41" s="211">
        <f>IF(ISERROR(I41/G41),"-",I41/G41)</f>
        <v>-0.32522020407233138</v>
      </c>
      <c r="K41" s="171"/>
      <c r="L41" s="432">
        <f>SUM(L33:L40)</f>
        <v>1409720.75</v>
      </c>
      <c r="M41" s="433">
        <f>SUM(M33:M40)</f>
        <v>875847.94000000006</v>
      </c>
      <c r="N41" s="433">
        <f>SUM(N33:N40)</f>
        <v>-533872.80999999994</v>
      </c>
      <c r="O41" s="212">
        <f>IF(ISERROR(N41/L41),"-",N41/L41)</f>
        <v>-0.37870820160659474</v>
      </c>
      <c r="P41" s="171"/>
      <c r="Q41" s="1006">
        <f>SUM(Q33:Q40)</f>
        <v>0</v>
      </c>
      <c r="R41" s="565">
        <f>SUM(R33:R40)</f>
        <v>0</v>
      </c>
      <c r="S41" s="433">
        <f>SUM(S33:S40)</f>
        <v>0</v>
      </c>
      <c r="T41" s="1214" t="str">
        <f>IF(ISERROR(S41/Q41),"-",S41/Q41)</f>
        <v>-</v>
      </c>
      <c r="U41" s="783"/>
      <c r="V41" s="565">
        <f>SUM(V33:V40)</f>
        <v>4229162.25</v>
      </c>
      <c r="W41" s="433">
        <f>SUM(W33:W40)</f>
        <v>2697881.2600000002</v>
      </c>
      <c r="X41" s="433">
        <f>SUM(X33:X40)</f>
        <v>-1531280.9900000002</v>
      </c>
      <c r="Y41" s="1214">
        <f>IF(ISERROR(X41/V41),"-",X41/V41)</f>
        <v>-0.36207667133130211</v>
      </c>
      <c r="Z41" s="951"/>
      <c r="AA41" s="952">
        <f>SUM(AA33:AA40)</f>
        <v>5664842</v>
      </c>
      <c r="AB41" s="435">
        <f>SUM(AB33:AB40)</f>
        <v>2966960.7399999998</v>
      </c>
      <c r="AC41" s="775">
        <f t="shared" si="27"/>
        <v>0.52374995454418671</v>
      </c>
      <c r="AD41" s="782"/>
      <c r="AE41" s="1596"/>
    </row>
    <row r="42" spans="1:31" x14ac:dyDescent="0.3">
      <c r="A42" s="488"/>
      <c r="B42" s="1323"/>
      <c r="C42" s="1392"/>
      <c r="D42" s="566"/>
      <c r="E42" s="187"/>
      <c r="F42" s="166"/>
      <c r="G42" s="1225"/>
      <c r="H42" s="1230"/>
      <c r="I42" s="788"/>
      <c r="J42" s="190"/>
      <c r="K42" s="166"/>
      <c r="L42" s="422"/>
      <c r="M42" s="423"/>
      <c r="N42" s="423"/>
      <c r="O42" s="191"/>
      <c r="P42" s="166"/>
      <c r="Q42" s="424"/>
      <c r="R42" s="425"/>
      <c r="S42" s="425"/>
      <c r="T42" s="1217"/>
      <c r="U42" s="782"/>
      <c r="V42" s="566"/>
      <c r="W42" s="423"/>
      <c r="X42" s="423"/>
      <c r="Y42" s="768"/>
      <c r="Z42" s="951"/>
      <c r="AA42" s="566"/>
      <c r="AB42" s="423"/>
      <c r="AC42" s="768"/>
      <c r="AD42" s="781"/>
      <c r="AE42" s="1596"/>
    </row>
    <row r="43" spans="1:31" x14ac:dyDescent="0.3">
      <c r="A43" s="483" t="s">
        <v>84</v>
      </c>
      <c r="B43" s="1045"/>
      <c r="C43" s="412"/>
      <c r="D43" s="571"/>
      <c r="E43" s="242"/>
      <c r="F43" s="160"/>
      <c r="G43" s="1226"/>
      <c r="H43" s="1231"/>
      <c r="I43" s="791"/>
      <c r="J43" s="245"/>
      <c r="K43" s="160"/>
      <c r="L43" s="444"/>
      <c r="M43" s="445"/>
      <c r="N43" s="445"/>
      <c r="O43" s="246"/>
      <c r="P43" s="160"/>
      <c r="Q43" s="446"/>
      <c r="R43" s="447"/>
      <c r="S43" s="447"/>
      <c r="T43" s="1218"/>
      <c r="U43" s="781"/>
      <c r="V43" s="571"/>
      <c r="W43" s="445"/>
      <c r="X43" s="415"/>
      <c r="Y43" s="769"/>
      <c r="Z43" s="950"/>
      <c r="AA43" s="571"/>
      <c r="AB43" s="415"/>
      <c r="AC43" s="769"/>
      <c r="AD43" s="783"/>
      <c r="AE43" s="1601"/>
    </row>
    <row r="44" spans="1:31" x14ac:dyDescent="0.3">
      <c r="A44" s="476" t="s">
        <v>85</v>
      </c>
      <c r="B44" s="1065">
        <v>7500</v>
      </c>
      <c r="C44" s="1647">
        <v>403.23</v>
      </c>
      <c r="D44" s="604">
        <f t="shared" ref="D44:D75" si="28">C44-B44</f>
        <v>-7096.77</v>
      </c>
      <c r="E44" s="194">
        <f t="shared" ref="E44:E76" si="29">IF(ISERROR(D44/B44),"-",D44/B44)</f>
        <v>-0.94623600000000008</v>
      </c>
      <c r="F44" s="171"/>
      <c r="G44" s="1082">
        <v>7500</v>
      </c>
      <c r="H44" s="976">
        <v>537.64</v>
      </c>
      <c r="I44" s="604">
        <f t="shared" ref="I44:I75" si="30">H44-G44</f>
        <v>-6962.36</v>
      </c>
      <c r="J44" s="195">
        <f t="shared" ref="J44:J75" si="31">IF(ISERROR(I44/G44),"-",I44/G44)</f>
        <v>-0.92831466666666662</v>
      </c>
      <c r="K44" s="171"/>
      <c r="L44" s="992">
        <v>7500</v>
      </c>
      <c r="M44" s="976">
        <v>627.32000000000005</v>
      </c>
      <c r="N44" s="604">
        <f t="shared" ref="N44:N75" si="32">M44-L44</f>
        <v>-6872.68</v>
      </c>
      <c r="O44" s="196">
        <f t="shared" ref="O44:O72" si="33">IF(ISERROR(N44/L44),"-",N44/L44)</f>
        <v>-0.91635733333333336</v>
      </c>
      <c r="P44" s="171"/>
      <c r="Q44" s="1082"/>
      <c r="R44" s="1083"/>
      <c r="S44" s="416">
        <f t="shared" ref="S44:S75" si="34">R44-Q44</f>
        <v>0</v>
      </c>
      <c r="T44" s="1212" t="str">
        <f t="shared" ref="T44:T72" si="35">IF(ISERROR(S44/Q44),"-",S44/Q44)</f>
        <v>-</v>
      </c>
      <c r="U44" s="783"/>
      <c r="V44" s="567">
        <f>B44+G44+L44+Q44</f>
        <v>22500</v>
      </c>
      <c r="W44" s="415">
        <f>C44+H44+M44+R44</f>
        <v>1568.19</v>
      </c>
      <c r="X44" s="416">
        <f>W44-V44</f>
        <v>-20931.810000000001</v>
      </c>
      <c r="Y44" s="773">
        <f>IF(ISERROR(X44/V44),"-",X44/V44)</f>
        <v>-0.93030266666666672</v>
      </c>
      <c r="Z44" s="951"/>
      <c r="AA44" s="567">
        <v>30000</v>
      </c>
      <c r="AB44" s="415">
        <f>AA44-W44</f>
        <v>28431.81</v>
      </c>
      <c r="AC44" s="773">
        <f>IF(ISERROR(AB44/AA44),"-",AB44/AA44)</f>
        <v>0.9477270000000001</v>
      </c>
      <c r="AD44" s="785"/>
      <c r="AE44" s="1602"/>
    </row>
    <row r="45" spans="1:31" x14ac:dyDescent="0.3">
      <c r="A45" s="476" t="s">
        <v>128</v>
      </c>
      <c r="B45" s="1065">
        <v>62500</v>
      </c>
      <c r="C45" s="1042">
        <v>0</v>
      </c>
      <c r="D45" s="604">
        <f t="shared" si="28"/>
        <v>-62500</v>
      </c>
      <c r="E45" s="194">
        <f t="shared" si="29"/>
        <v>-1</v>
      </c>
      <c r="F45" s="230"/>
      <c r="G45" s="1065">
        <v>62500</v>
      </c>
      <c r="H45" s="1042">
        <v>0</v>
      </c>
      <c r="I45" s="604">
        <f t="shared" si="30"/>
        <v>-62500</v>
      </c>
      <c r="J45" s="195">
        <f t="shared" si="31"/>
        <v>-1</v>
      </c>
      <c r="K45" s="230"/>
      <c r="L45" s="601">
        <v>62500</v>
      </c>
      <c r="M45" s="1042">
        <v>771.51</v>
      </c>
      <c r="N45" s="604">
        <f t="shared" si="32"/>
        <v>-61728.49</v>
      </c>
      <c r="O45" s="196">
        <f t="shared" si="33"/>
        <v>-0.98765583999999995</v>
      </c>
      <c r="P45" s="230"/>
      <c r="Q45" s="1065"/>
      <c r="R45" s="1018"/>
      <c r="S45" s="416">
        <f t="shared" si="34"/>
        <v>0</v>
      </c>
      <c r="T45" s="1212" t="str">
        <f t="shared" si="35"/>
        <v>-</v>
      </c>
      <c r="U45" s="785"/>
      <c r="V45" s="567">
        <f t="shared" ref="V45:V75" si="36">B45+G45+L45+Q45</f>
        <v>187500</v>
      </c>
      <c r="W45" s="415">
        <f t="shared" ref="W45:W75" si="37">C45+H45+M45+R45</f>
        <v>771.51</v>
      </c>
      <c r="X45" s="416">
        <f t="shared" ref="X45:X75" si="38">W45-V45</f>
        <v>-186728.49</v>
      </c>
      <c r="Y45" s="773">
        <f t="shared" ref="Y45:Y76" si="39">IF(ISERROR(X45/V45),"-",X45/V45)</f>
        <v>-0.99588527999999998</v>
      </c>
      <c r="Z45" s="953"/>
      <c r="AA45" s="567">
        <v>250000</v>
      </c>
      <c r="AB45" s="415">
        <f t="shared" ref="AB45:AB75" si="40">AA45-W45</f>
        <v>249228.49</v>
      </c>
      <c r="AC45" s="773">
        <f t="shared" ref="AC45:AC76" si="41">IF(ISERROR(AB45/AA45),"-",AB45/AA45)</f>
        <v>0.99691395999999999</v>
      </c>
      <c r="AD45" s="785"/>
      <c r="AE45" s="1596"/>
    </row>
    <row r="46" spans="1:31" x14ac:dyDescent="0.3">
      <c r="A46" s="476" t="s">
        <v>127</v>
      </c>
      <c r="B46" s="1065">
        <v>0</v>
      </c>
      <c r="C46" s="1042">
        <v>0</v>
      </c>
      <c r="D46" s="604">
        <f t="shared" si="28"/>
        <v>0</v>
      </c>
      <c r="E46" s="194" t="str">
        <f t="shared" si="29"/>
        <v>-</v>
      </c>
      <c r="F46" s="230"/>
      <c r="G46" s="1081">
        <v>0</v>
      </c>
      <c r="H46" s="1042">
        <v>0</v>
      </c>
      <c r="I46" s="604">
        <f t="shared" si="30"/>
        <v>0</v>
      </c>
      <c r="J46" s="195" t="str">
        <f t="shared" si="31"/>
        <v>-</v>
      </c>
      <c r="K46" s="230"/>
      <c r="L46" s="601">
        <v>0</v>
      </c>
      <c r="M46" s="1042">
        <v>0</v>
      </c>
      <c r="N46" s="604">
        <f t="shared" si="32"/>
        <v>0</v>
      </c>
      <c r="O46" s="196" t="str">
        <f t="shared" si="33"/>
        <v>-</v>
      </c>
      <c r="P46" s="230"/>
      <c r="Q46" s="1065"/>
      <c r="R46" s="1018"/>
      <c r="S46" s="416">
        <f t="shared" si="34"/>
        <v>0</v>
      </c>
      <c r="T46" s="1212" t="str">
        <f t="shared" si="35"/>
        <v>-</v>
      </c>
      <c r="U46" s="785"/>
      <c r="V46" s="567">
        <f t="shared" si="36"/>
        <v>0</v>
      </c>
      <c r="W46" s="415">
        <f t="shared" si="37"/>
        <v>0</v>
      </c>
      <c r="X46" s="416">
        <f t="shared" si="38"/>
        <v>0</v>
      </c>
      <c r="Y46" s="773" t="str">
        <f t="shared" si="39"/>
        <v>-</v>
      </c>
      <c r="Z46" s="953"/>
      <c r="AA46" s="567">
        <v>0</v>
      </c>
      <c r="AB46" s="415">
        <f t="shared" si="40"/>
        <v>0</v>
      </c>
      <c r="AC46" s="773" t="str">
        <f t="shared" si="41"/>
        <v>-</v>
      </c>
      <c r="AD46" s="785"/>
      <c r="AE46" s="1601"/>
    </row>
    <row r="47" spans="1:31" x14ac:dyDescent="0.3">
      <c r="A47" s="476" t="s">
        <v>86</v>
      </c>
      <c r="B47" s="1065">
        <v>4500</v>
      </c>
      <c r="C47" s="1042">
        <v>6150.38</v>
      </c>
      <c r="D47" s="604">
        <f t="shared" si="28"/>
        <v>1650.38</v>
      </c>
      <c r="E47" s="194">
        <f t="shared" si="29"/>
        <v>0.36675111111111114</v>
      </c>
      <c r="F47" s="230"/>
      <c r="G47" s="1065">
        <v>4500</v>
      </c>
      <c r="H47" s="1042">
        <v>5599.23</v>
      </c>
      <c r="I47" s="604">
        <f t="shared" si="30"/>
        <v>1099.2299999999996</v>
      </c>
      <c r="J47" s="195">
        <f t="shared" si="31"/>
        <v>0.24427333333333323</v>
      </c>
      <c r="K47" s="230"/>
      <c r="L47" s="601">
        <v>4500</v>
      </c>
      <c r="M47" s="1042">
        <v>2773.84</v>
      </c>
      <c r="N47" s="604">
        <f t="shared" si="32"/>
        <v>-1726.1599999999999</v>
      </c>
      <c r="O47" s="196">
        <f t="shared" si="33"/>
        <v>-0.3835911111111111</v>
      </c>
      <c r="P47" s="230"/>
      <c r="Q47" s="1065"/>
      <c r="R47" s="1018"/>
      <c r="S47" s="416">
        <f t="shared" si="34"/>
        <v>0</v>
      </c>
      <c r="T47" s="1212" t="str">
        <f t="shared" si="35"/>
        <v>-</v>
      </c>
      <c r="U47" s="785"/>
      <c r="V47" s="567">
        <f t="shared" si="36"/>
        <v>13500</v>
      </c>
      <c r="W47" s="415">
        <f t="shared" si="37"/>
        <v>14523.45</v>
      </c>
      <c r="X47" s="416">
        <f t="shared" si="38"/>
        <v>1023.4500000000007</v>
      </c>
      <c r="Y47" s="773">
        <f t="shared" si="39"/>
        <v>7.5811111111111162E-2</v>
      </c>
      <c r="Z47" s="953"/>
      <c r="AA47" s="567">
        <v>18000</v>
      </c>
      <c r="AB47" s="415">
        <f t="shared" si="40"/>
        <v>3476.5499999999993</v>
      </c>
      <c r="AC47" s="773">
        <f t="shared" si="41"/>
        <v>0.19314166666666663</v>
      </c>
      <c r="AD47" s="785"/>
      <c r="AE47" s="1596"/>
    </row>
    <row r="48" spans="1:31" x14ac:dyDescent="0.3">
      <c r="A48" s="476" t="s">
        <v>87</v>
      </c>
      <c r="B48" s="1065">
        <v>9250</v>
      </c>
      <c r="C48" s="1042">
        <v>3000</v>
      </c>
      <c r="D48" s="604">
        <f t="shared" si="28"/>
        <v>-6250</v>
      </c>
      <c r="E48" s="194">
        <f t="shared" si="29"/>
        <v>-0.67567567567567566</v>
      </c>
      <c r="F48" s="230"/>
      <c r="G48" s="1065">
        <v>9250</v>
      </c>
      <c r="H48" s="1042">
        <v>20930</v>
      </c>
      <c r="I48" s="604">
        <f t="shared" si="30"/>
        <v>11680</v>
      </c>
      <c r="J48" s="195">
        <f t="shared" si="31"/>
        <v>1.2627027027027027</v>
      </c>
      <c r="K48" s="230"/>
      <c r="L48" s="601">
        <v>9250</v>
      </c>
      <c r="M48" s="1042">
        <v>7929.96</v>
      </c>
      <c r="N48" s="604">
        <f t="shared" si="32"/>
        <v>-1320.04</v>
      </c>
      <c r="O48" s="196">
        <f t="shared" si="33"/>
        <v>-0.14270702702702703</v>
      </c>
      <c r="P48" s="230"/>
      <c r="Q48" s="1065"/>
      <c r="R48" s="1018"/>
      <c r="S48" s="416">
        <f t="shared" si="34"/>
        <v>0</v>
      </c>
      <c r="T48" s="1212" t="str">
        <f t="shared" si="35"/>
        <v>-</v>
      </c>
      <c r="U48" s="785"/>
      <c r="V48" s="567">
        <f t="shared" si="36"/>
        <v>27750</v>
      </c>
      <c r="W48" s="415">
        <f t="shared" si="37"/>
        <v>31859.96</v>
      </c>
      <c r="X48" s="416">
        <f t="shared" si="38"/>
        <v>4109.9599999999991</v>
      </c>
      <c r="Y48" s="773">
        <f t="shared" si="39"/>
        <v>0.14810666666666664</v>
      </c>
      <c r="Z48" s="953"/>
      <c r="AA48" s="567">
        <v>47000</v>
      </c>
      <c r="AB48" s="415">
        <f t="shared" si="40"/>
        <v>15140.04</v>
      </c>
      <c r="AC48" s="773">
        <f t="shared" si="41"/>
        <v>0.32212851063829789</v>
      </c>
      <c r="AD48" s="783"/>
      <c r="AE48" s="1603"/>
    </row>
    <row r="49" spans="1:31" ht="24.75" customHeight="1" x14ac:dyDescent="0.3">
      <c r="A49" s="476" t="s">
        <v>88</v>
      </c>
      <c r="B49" s="1065">
        <v>40250</v>
      </c>
      <c r="C49" s="1042">
        <v>16967.650000000001</v>
      </c>
      <c r="D49" s="604">
        <f t="shared" si="28"/>
        <v>-23282.35</v>
      </c>
      <c r="E49" s="194">
        <f t="shared" si="29"/>
        <v>-0.5784434782608695</v>
      </c>
      <c r="F49" s="171"/>
      <c r="G49" s="1065">
        <v>40250</v>
      </c>
      <c r="H49" s="1042">
        <v>17831.86</v>
      </c>
      <c r="I49" s="604">
        <f t="shared" si="30"/>
        <v>-22418.14</v>
      </c>
      <c r="J49" s="195">
        <f t="shared" si="31"/>
        <v>-0.55697242236024846</v>
      </c>
      <c r="K49" s="171"/>
      <c r="L49" s="601">
        <v>40250</v>
      </c>
      <c r="M49" s="1042">
        <v>17448.560000000001</v>
      </c>
      <c r="N49" s="604">
        <f t="shared" si="32"/>
        <v>-22801.439999999999</v>
      </c>
      <c r="O49" s="196">
        <f t="shared" si="33"/>
        <v>-0.56649540372670804</v>
      </c>
      <c r="P49" s="171"/>
      <c r="Q49" s="1065"/>
      <c r="R49" s="1018"/>
      <c r="S49" s="416">
        <f t="shared" si="34"/>
        <v>0</v>
      </c>
      <c r="T49" s="1212" t="str">
        <f t="shared" si="35"/>
        <v>-</v>
      </c>
      <c r="U49" s="783"/>
      <c r="V49" s="567">
        <f t="shared" si="36"/>
        <v>120750</v>
      </c>
      <c r="W49" s="415">
        <f t="shared" si="37"/>
        <v>52248.070000000007</v>
      </c>
      <c r="X49" s="416">
        <f t="shared" si="38"/>
        <v>-68501.929999999993</v>
      </c>
      <c r="Y49" s="773">
        <f t="shared" si="39"/>
        <v>-0.56730376811594196</v>
      </c>
      <c r="Z49" s="951"/>
      <c r="AA49" s="567">
        <v>161000</v>
      </c>
      <c r="AB49" s="415">
        <f t="shared" si="40"/>
        <v>108751.93</v>
      </c>
      <c r="AC49" s="773">
        <f t="shared" si="41"/>
        <v>0.6754778260869565</v>
      </c>
      <c r="AD49" s="783"/>
      <c r="AE49" s="1604"/>
    </row>
    <row r="50" spans="1:31" x14ac:dyDescent="0.3">
      <c r="A50" s="476" t="s">
        <v>89</v>
      </c>
      <c r="B50" s="1065">
        <v>328375</v>
      </c>
      <c r="C50" s="1042">
        <v>758701.54</v>
      </c>
      <c r="D50" s="604">
        <f t="shared" si="28"/>
        <v>430326.54000000004</v>
      </c>
      <c r="E50" s="194">
        <f t="shared" si="29"/>
        <v>1.3104729044537495</v>
      </c>
      <c r="F50" s="171"/>
      <c r="G50" s="1065">
        <v>328375</v>
      </c>
      <c r="H50" s="1042">
        <v>753570.52</v>
      </c>
      <c r="I50" s="604">
        <f t="shared" si="30"/>
        <v>425195.52000000002</v>
      </c>
      <c r="J50" s="195">
        <f t="shared" si="31"/>
        <v>1.2948474153026266</v>
      </c>
      <c r="K50" s="171"/>
      <c r="L50" s="601">
        <v>328375</v>
      </c>
      <c r="M50" s="1042">
        <v>355465.93</v>
      </c>
      <c r="N50" s="604">
        <f t="shared" si="32"/>
        <v>27090.929999999993</v>
      </c>
      <c r="O50" s="196">
        <f t="shared" si="33"/>
        <v>8.2499977160258822E-2</v>
      </c>
      <c r="P50" s="171"/>
      <c r="Q50" s="1065"/>
      <c r="R50" s="1018"/>
      <c r="S50" s="416">
        <f t="shared" si="34"/>
        <v>0</v>
      </c>
      <c r="T50" s="1212" t="str">
        <f t="shared" si="35"/>
        <v>-</v>
      </c>
      <c r="U50" s="783"/>
      <c r="V50" s="567">
        <f t="shared" si="36"/>
        <v>985125</v>
      </c>
      <c r="W50" s="415">
        <f t="shared" si="37"/>
        <v>1867737.99</v>
      </c>
      <c r="X50" s="416">
        <f t="shared" si="38"/>
        <v>882612.99</v>
      </c>
      <c r="Y50" s="773">
        <f t="shared" si="39"/>
        <v>0.89594009897221161</v>
      </c>
      <c r="Z50" s="951"/>
      <c r="AA50" s="567">
        <v>1316500</v>
      </c>
      <c r="AB50" s="415">
        <f>AA50-W50</f>
        <v>-551237.99</v>
      </c>
      <c r="AC50" s="773">
        <f t="shared" si="41"/>
        <v>-0.41871476642612987</v>
      </c>
      <c r="AD50" s="783"/>
      <c r="AE50" s="1605"/>
    </row>
    <row r="51" spans="1:31" x14ac:dyDescent="0.3">
      <c r="A51" s="476" t="s">
        <v>113</v>
      </c>
      <c r="B51" s="1065">
        <v>0</v>
      </c>
      <c r="C51" s="1042">
        <v>0</v>
      </c>
      <c r="D51" s="604">
        <f t="shared" si="28"/>
        <v>0</v>
      </c>
      <c r="E51" s="194" t="str">
        <f t="shared" si="29"/>
        <v>-</v>
      </c>
      <c r="F51" s="171"/>
      <c r="G51" s="1065">
        <v>0</v>
      </c>
      <c r="H51" s="1042">
        <v>0</v>
      </c>
      <c r="I51" s="604">
        <f t="shared" si="30"/>
        <v>0</v>
      </c>
      <c r="J51" s="195" t="str">
        <f>IF(ISERROR(I51/G51),"-",I51/G51)</f>
        <v>-</v>
      </c>
      <c r="K51" s="171"/>
      <c r="L51" s="601">
        <v>0</v>
      </c>
      <c r="M51" s="1042">
        <v>0</v>
      </c>
      <c r="N51" s="604">
        <f t="shared" si="32"/>
        <v>0</v>
      </c>
      <c r="O51" s="196" t="str">
        <f t="shared" si="33"/>
        <v>-</v>
      </c>
      <c r="P51" s="171"/>
      <c r="Q51" s="1065"/>
      <c r="R51" s="1018"/>
      <c r="S51" s="416">
        <f t="shared" si="34"/>
        <v>0</v>
      </c>
      <c r="T51" s="1212" t="str">
        <f t="shared" si="35"/>
        <v>-</v>
      </c>
      <c r="U51" s="783"/>
      <c r="V51" s="567">
        <f t="shared" si="36"/>
        <v>0</v>
      </c>
      <c r="W51" s="415">
        <f t="shared" si="37"/>
        <v>0</v>
      </c>
      <c r="X51" s="416">
        <f t="shared" si="38"/>
        <v>0</v>
      </c>
      <c r="Y51" s="773" t="str">
        <f t="shared" si="39"/>
        <v>-</v>
      </c>
      <c r="Z51" s="951"/>
      <c r="AA51" s="567">
        <v>0</v>
      </c>
      <c r="AB51" s="415">
        <f t="shared" si="40"/>
        <v>0</v>
      </c>
      <c r="AC51" s="773" t="str">
        <f t="shared" si="41"/>
        <v>-</v>
      </c>
      <c r="AD51" s="785"/>
      <c r="AE51" s="1596"/>
    </row>
    <row r="52" spans="1:31" x14ac:dyDescent="0.3">
      <c r="A52" s="476" t="s">
        <v>126</v>
      </c>
      <c r="B52" s="1065">
        <v>0</v>
      </c>
      <c r="C52" s="1042">
        <v>0</v>
      </c>
      <c r="D52" s="604">
        <f t="shared" si="28"/>
        <v>0</v>
      </c>
      <c r="E52" s="194" t="str">
        <f t="shared" si="29"/>
        <v>-</v>
      </c>
      <c r="F52" s="230"/>
      <c r="G52" s="1065">
        <v>0</v>
      </c>
      <c r="H52" s="1042">
        <v>0</v>
      </c>
      <c r="I52" s="604">
        <f t="shared" si="30"/>
        <v>0</v>
      </c>
      <c r="J52" s="195" t="str">
        <f t="shared" si="31"/>
        <v>-</v>
      </c>
      <c r="K52" s="230"/>
      <c r="L52" s="601">
        <v>0</v>
      </c>
      <c r="M52" s="1042">
        <v>0</v>
      </c>
      <c r="N52" s="604">
        <f t="shared" si="32"/>
        <v>0</v>
      </c>
      <c r="O52" s="196" t="str">
        <f t="shared" si="33"/>
        <v>-</v>
      </c>
      <c r="P52" s="230"/>
      <c r="Q52" s="1065"/>
      <c r="R52" s="1018"/>
      <c r="S52" s="416">
        <f t="shared" si="34"/>
        <v>0</v>
      </c>
      <c r="T52" s="1212" t="str">
        <f t="shared" si="35"/>
        <v>-</v>
      </c>
      <c r="U52" s="785"/>
      <c r="V52" s="567">
        <f t="shared" si="36"/>
        <v>0</v>
      </c>
      <c r="W52" s="415">
        <f t="shared" si="37"/>
        <v>0</v>
      </c>
      <c r="X52" s="416">
        <f t="shared" si="38"/>
        <v>0</v>
      </c>
      <c r="Y52" s="773" t="str">
        <f t="shared" si="39"/>
        <v>-</v>
      </c>
      <c r="Z52" s="953"/>
      <c r="AA52" s="567">
        <v>0</v>
      </c>
      <c r="AB52" s="415">
        <f t="shared" si="40"/>
        <v>0</v>
      </c>
      <c r="AC52" s="773" t="str">
        <f t="shared" si="41"/>
        <v>-</v>
      </c>
      <c r="AD52" s="785"/>
      <c r="AE52" s="1603"/>
    </row>
    <row r="53" spans="1:31" x14ac:dyDescent="0.3">
      <c r="A53" s="476" t="s">
        <v>82</v>
      </c>
      <c r="B53" s="1065">
        <v>60000</v>
      </c>
      <c r="C53" s="1042">
        <v>37605.360000000001</v>
      </c>
      <c r="D53" s="604">
        <f t="shared" si="28"/>
        <v>-22394.639999999999</v>
      </c>
      <c r="E53" s="194">
        <f t="shared" si="29"/>
        <v>-0.37324399999999996</v>
      </c>
      <c r="F53" s="230"/>
      <c r="G53" s="1065">
        <v>60000</v>
      </c>
      <c r="H53" s="1042">
        <v>40400</v>
      </c>
      <c r="I53" s="604">
        <f t="shared" si="30"/>
        <v>-19600</v>
      </c>
      <c r="J53" s="195">
        <f t="shared" si="31"/>
        <v>-0.32666666666666666</v>
      </c>
      <c r="K53" s="230"/>
      <c r="L53" s="601">
        <v>60000</v>
      </c>
      <c r="M53" s="1042">
        <v>60458.71</v>
      </c>
      <c r="N53" s="604">
        <f t="shared" si="32"/>
        <v>458.70999999999913</v>
      </c>
      <c r="O53" s="196">
        <f t="shared" si="33"/>
        <v>7.6451666666666517E-3</v>
      </c>
      <c r="P53" s="230"/>
      <c r="Q53" s="1065"/>
      <c r="R53" s="1018"/>
      <c r="S53" s="416">
        <f t="shared" si="34"/>
        <v>0</v>
      </c>
      <c r="T53" s="1212" t="str">
        <f t="shared" si="35"/>
        <v>-</v>
      </c>
      <c r="U53" s="785"/>
      <c r="V53" s="567">
        <f t="shared" si="36"/>
        <v>180000</v>
      </c>
      <c r="W53" s="415">
        <f t="shared" si="37"/>
        <v>138464.07</v>
      </c>
      <c r="X53" s="416">
        <f t="shared" si="38"/>
        <v>-41535.929999999993</v>
      </c>
      <c r="Y53" s="773">
        <f t="shared" si="39"/>
        <v>-0.23075516666666662</v>
      </c>
      <c r="Z53" s="953"/>
      <c r="AA53" s="567">
        <v>290000</v>
      </c>
      <c r="AB53" s="415">
        <f t="shared" si="40"/>
        <v>151535.93</v>
      </c>
      <c r="AC53" s="773">
        <f t="shared" si="41"/>
        <v>0.52253768965517244</v>
      </c>
      <c r="AD53" s="785"/>
      <c r="AE53" s="1603"/>
    </row>
    <row r="54" spans="1:31" x14ac:dyDescent="0.3">
      <c r="A54" s="476" t="s">
        <v>125</v>
      </c>
      <c r="B54" s="1065">
        <v>0</v>
      </c>
      <c r="C54" s="1042">
        <v>0</v>
      </c>
      <c r="D54" s="604">
        <f t="shared" si="28"/>
        <v>0</v>
      </c>
      <c r="E54" s="194" t="str">
        <f t="shared" si="29"/>
        <v>-</v>
      </c>
      <c r="F54" s="230"/>
      <c r="G54" s="1065">
        <v>0</v>
      </c>
      <c r="H54" s="1042">
        <v>0</v>
      </c>
      <c r="I54" s="604">
        <f t="shared" si="30"/>
        <v>0</v>
      </c>
      <c r="J54" s="195" t="str">
        <f t="shared" si="31"/>
        <v>-</v>
      </c>
      <c r="K54" s="230"/>
      <c r="L54" s="601">
        <v>0</v>
      </c>
      <c r="M54" s="1042">
        <v>0</v>
      </c>
      <c r="N54" s="604">
        <f t="shared" si="32"/>
        <v>0</v>
      </c>
      <c r="O54" s="196" t="str">
        <f t="shared" si="33"/>
        <v>-</v>
      </c>
      <c r="P54" s="230"/>
      <c r="Q54" s="1065"/>
      <c r="R54" s="1018"/>
      <c r="S54" s="416">
        <f t="shared" si="34"/>
        <v>0</v>
      </c>
      <c r="T54" s="1212" t="str">
        <f t="shared" si="35"/>
        <v>-</v>
      </c>
      <c r="U54" s="785"/>
      <c r="V54" s="567">
        <f t="shared" si="36"/>
        <v>0</v>
      </c>
      <c r="W54" s="415">
        <f t="shared" si="37"/>
        <v>0</v>
      </c>
      <c r="X54" s="416">
        <f t="shared" si="38"/>
        <v>0</v>
      </c>
      <c r="Y54" s="773"/>
      <c r="Z54" s="953"/>
      <c r="AA54" s="567">
        <v>0</v>
      </c>
      <c r="AB54" s="415">
        <f t="shared" si="40"/>
        <v>0</v>
      </c>
      <c r="AC54" s="773" t="str">
        <f t="shared" si="41"/>
        <v>-</v>
      </c>
      <c r="AD54" s="785"/>
      <c r="AE54" s="1598"/>
    </row>
    <row r="55" spans="1:31" x14ac:dyDescent="0.3">
      <c r="A55" s="476" t="s">
        <v>90</v>
      </c>
      <c r="B55" s="1065">
        <v>5500</v>
      </c>
      <c r="C55" s="1042">
        <v>20271.849999999999</v>
      </c>
      <c r="D55" s="604">
        <f t="shared" si="28"/>
        <v>14771.849999999999</v>
      </c>
      <c r="E55" s="194">
        <f t="shared" si="29"/>
        <v>2.6857909090909087</v>
      </c>
      <c r="F55" s="230"/>
      <c r="G55" s="1065">
        <v>5500</v>
      </c>
      <c r="H55" s="1042">
        <v>0</v>
      </c>
      <c r="I55" s="604">
        <f t="shared" si="30"/>
        <v>-5500</v>
      </c>
      <c r="J55" s="195">
        <f t="shared" si="31"/>
        <v>-1</v>
      </c>
      <c r="K55" s="230"/>
      <c r="L55" s="601">
        <v>5500</v>
      </c>
      <c r="M55" s="1042">
        <v>0</v>
      </c>
      <c r="N55" s="396">
        <v>0</v>
      </c>
      <c r="O55" s="196">
        <f t="shared" si="33"/>
        <v>0</v>
      </c>
      <c r="P55" s="230"/>
      <c r="Q55" s="1065"/>
      <c r="R55" s="1018"/>
      <c r="S55" s="416">
        <f t="shared" si="34"/>
        <v>0</v>
      </c>
      <c r="T55" s="1212" t="str">
        <f t="shared" si="35"/>
        <v>-</v>
      </c>
      <c r="U55" s="785"/>
      <c r="V55" s="567">
        <f t="shared" si="36"/>
        <v>16500</v>
      </c>
      <c r="W55" s="415">
        <f t="shared" si="37"/>
        <v>20271.849999999999</v>
      </c>
      <c r="X55" s="416">
        <f t="shared" si="38"/>
        <v>3771.8499999999985</v>
      </c>
      <c r="Y55" s="773">
        <f t="shared" si="39"/>
        <v>0.2285969696969696</v>
      </c>
      <c r="Z55" s="953"/>
      <c r="AA55" s="567">
        <v>22000</v>
      </c>
      <c r="AB55" s="415">
        <f t="shared" si="40"/>
        <v>1728.1500000000015</v>
      </c>
      <c r="AC55" s="773">
        <f t="shared" si="41"/>
        <v>7.855227272727279E-2</v>
      </c>
      <c r="AD55" s="785"/>
      <c r="AE55" s="1596"/>
    </row>
    <row r="56" spans="1:31" x14ac:dyDescent="0.3">
      <c r="A56" s="476" t="s">
        <v>91</v>
      </c>
      <c r="B56" s="1065">
        <v>15000.25</v>
      </c>
      <c r="C56" s="1042">
        <v>741.94</v>
      </c>
      <c r="D56" s="604">
        <f t="shared" si="28"/>
        <v>-14258.31</v>
      </c>
      <c r="E56" s="194">
        <f t="shared" si="29"/>
        <v>-0.95053815769737171</v>
      </c>
      <c r="F56" s="230"/>
      <c r="G56" s="1081">
        <v>15000.25</v>
      </c>
      <c r="H56" s="1042">
        <v>3920.33</v>
      </c>
      <c r="I56" s="604">
        <f t="shared" si="30"/>
        <v>-11079.92</v>
      </c>
      <c r="J56" s="195">
        <f t="shared" si="31"/>
        <v>-0.73864902251629139</v>
      </c>
      <c r="K56" s="230"/>
      <c r="L56" s="601">
        <v>15000.25</v>
      </c>
      <c r="M56" s="1042">
        <v>4143.9399999999996</v>
      </c>
      <c r="N56" s="604">
        <f t="shared" si="32"/>
        <v>-10856.310000000001</v>
      </c>
      <c r="O56" s="196">
        <f t="shared" si="33"/>
        <v>-0.72374193763437289</v>
      </c>
      <c r="P56" s="230"/>
      <c r="Q56" s="1065"/>
      <c r="R56" s="1018"/>
      <c r="S56" s="416">
        <f t="shared" si="34"/>
        <v>0</v>
      </c>
      <c r="T56" s="1212" t="str">
        <f t="shared" si="35"/>
        <v>-</v>
      </c>
      <c r="U56" s="785"/>
      <c r="V56" s="567">
        <f t="shared" si="36"/>
        <v>45000.75</v>
      </c>
      <c r="W56" s="415">
        <f t="shared" si="37"/>
        <v>8806.2099999999991</v>
      </c>
      <c r="X56" s="416">
        <f t="shared" si="38"/>
        <v>-36194.54</v>
      </c>
      <c r="Y56" s="773">
        <f t="shared" si="39"/>
        <v>-0.80430970594934525</v>
      </c>
      <c r="Z56" s="953"/>
      <c r="AA56" s="567">
        <v>60001</v>
      </c>
      <c r="AB56" s="415">
        <f t="shared" si="40"/>
        <v>51194.79</v>
      </c>
      <c r="AC56" s="773">
        <f t="shared" si="41"/>
        <v>0.85323227946200897</v>
      </c>
      <c r="AD56" s="785"/>
      <c r="AE56" s="1596"/>
    </row>
    <row r="57" spans="1:31" x14ac:dyDescent="0.3">
      <c r="A57" s="476" t="s">
        <v>92</v>
      </c>
      <c r="B57" s="1065">
        <v>17750</v>
      </c>
      <c r="C57" s="1042">
        <v>14290.43</v>
      </c>
      <c r="D57" s="604">
        <f t="shared" si="28"/>
        <v>-3459.5699999999997</v>
      </c>
      <c r="E57" s="194">
        <f t="shared" si="29"/>
        <v>-0.19490535211267604</v>
      </c>
      <c r="F57" s="230"/>
      <c r="G57" s="1065">
        <v>17750</v>
      </c>
      <c r="H57" s="1042">
        <v>14450.34</v>
      </c>
      <c r="I57" s="604">
        <f t="shared" si="30"/>
        <v>-3299.66</v>
      </c>
      <c r="J57" s="195">
        <f t="shared" si="31"/>
        <v>-0.18589633802816902</v>
      </c>
      <c r="K57" s="230"/>
      <c r="L57" s="601">
        <v>17750</v>
      </c>
      <c r="M57" s="1042">
        <v>14448.89</v>
      </c>
      <c r="N57" s="604">
        <f t="shared" si="32"/>
        <v>-3301.1100000000006</v>
      </c>
      <c r="O57" s="196">
        <f t="shared" si="33"/>
        <v>-0.18597802816901413</v>
      </c>
      <c r="P57" s="230"/>
      <c r="Q57" s="1065"/>
      <c r="R57" s="1018"/>
      <c r="S57" s="416">
        <f t="shared" si="34"/>
        <v>0</v>
      </c>
      <c r="T57" s="1212" t="str">
        <f t="shared" si="35"/>
        <v>-</v>
      </c>
      <c r="U57" s="785"/>
      <c r="V57" s="567">
        <f t="shared" si="36"/>
        <v>53250</v>
      </c>
      <c r="W57" s="415">
        <f t="shared" si="37"/>
        <v>43189.66</v>
      </c>
      <c r="X57" s="416">
        <f t="shared" si="38"/>
        <v>-10060.339999999997</v>
      </c>
      <c r="Y57" s="773">
        <f t="shared" si="39"/>
        <v>-0.18892657276995298</v>
      </c>
      <c r="Z57" s="953"/>
      <c r="AA57" s="567">
        <v>71000</v>
      </c>
      <c r="AB57" s="415">
        <f t="shared" si="40"/>
        <v>27810.339999999997</v>
      </c>
      <c r="AC57" s="773">
        <f t="shared" si="41"/>
        <v>0.39169492957746471</v>
      </c>
      <c r="AD57" s="785"/>
      <c r="AE57" s="1598"/>
    </row>
    <row r="58" spans="1:31" x14ac:dyDescent="0.3">
      <c r="A58" s="476" t="s">
        <v>93</v>
      </c>
      <c r="B58" s="1065">
        <v>12500.25</v>
      </c>
      <c r="C58" s="1042">
        <v>0</v>
      </c>
      <c r="D58" s="604">
        <f t="shared" si="28"/>
        <v>-12500.25</v>
      </c>
      <c r="E58" s="194">
        <f t="shared" si="29"/>
        <v>-1</v>
      </c>
      <c r="F58" s="230"/>
      <c r="G58" s="1065">
        <v>12500.25</v>
      </c>
      <c r="H58" s="1042">
        <v>669.23</v>
      </c>
      <c r="I58" s="604">
        <f t="shared" si="30"/>
        <v>-11831.02</v>
      </c>
      <c r="J58" s="195">
        <f t="shared" si="31"/>
        <v>-0.94646267074658508</v>
      </c>
      <c r="K58" s="230"/>
      <c r="L58" s="601">
        <v>12500.25</v>
      </c>
      <c r="M58" s="1042">
        <v>19511.240000000002</v>
      </c>
      <c r="N58" s="604">
        <f t="shared" si="32"/>
        <v>7010.9900000000016</v>
      </c>
      <c r="O58" s="196">
        <f t="shared" si="33"/>
        <v>0.56086798264034732</v>
      </c>
      <c r="P58" s="230"/>
      <c r="Q58" s="1065"/>
      <c r="R58" s="1018"/>
      <c r="S58" s="416">
        <f t="shared" si="34"/>
        <v>0</v>
      </c>
      <c r="T58" s="1212" t="str">
        <f t="shared" si="35"/>
        <v>-</v>
      </c>
      <c r="U58" s="785"/>
      <c r="V58" s="567">
        <f t="shared" si="36"/>
        <v>37500.75</v>
      </c>
      <c r="W58" s="415">
        <f t="shared" si="37"/>
        <v>20180.47</v>
      </c>
      <c r="X58" s="416">
        <f t="shared" si="38"/>
        <v>-17320.28</v>
      </c>
      <c r="Y58" s="773">
        <f t="shared" si="39"/>
        <v>-0.46186489603541259</v>
      </c>
      <c r="Z58" s="953"/>
      <c r="AA58" s="567">
        <v>50001</v>
      </c>
      <c r="AB58" s="415">
        <f t="shared" si="40"/>
        <v>29820.53</v>
      </c>
      <c r="AC58" s="773">
        <f t="shared" si="41"/>
        <v>0.5963986720265595</v>
      </c>
      <c r="AD58" s="785"/>
      <c r="AE58" s="1600"/>
    </row>
    <row r="59" spans="1:31" x14ac:dyDescent="0.3">
      <c r="A59" s="476" t="s">
        <v>94</v>
      </c>
      <c r="B59" s="1065">
        <v>0</v>
      </c>
      <c r="C59" s="1042">
        <v>0</v>
      </c>
      <c r="D59" s="604">
        <f t="shared" si="28"/>
        <v>0</v>
      </c>
      <c r="E59" s="194" t="str">
        <f t="shared" si="29"/>
        <v>-</v>
      </c>
      <c r="F59" s="230"/>
      <c r="G59" s="1065">
        <v>0</v>
      </c>
      <c r="H59" s="1042">
        <v>0</v>
      </c>
      <c r="I59" s="604">
        <f t="shared" si="30"/>
        <v>0</v>
      </c>
      <c r="J59" s="195" t="str">
        <f t="shared" si="31"/>
        <v>-</v>
      </c>
      <c r="K59" s="230"/>
      <c r="L59" s="601">
        <v>0</v>
      </c>
      <c r="M59" s="1042">
        <v>0</v>
      </c>
      <c r="N59" s="604">
        <f t="shared" si="32"/>
        <v>0</v>
      </c>
      <c r="O59" s="196" t="str">
        <f t="shared" si="33"/>
        <v>-</v>
      </c>
      <c r="P59" s="230"/>
      <c r="Q59" s="1065"/>
      <c r="R59" s="1018"/>
      <c r="S59" s="416">
        <f t="shared" si="34"/>
        <v>0</v>
      </c>
      <c r="T59" s="1212" t="str">
        <f t="shared" si="35"/>
        <v>-</v>
      </c>
      <c r="U59" s="785"/>
      <c r="V59" s="567">
        <f t="shared" si="36"/>
        <v>0</v>
      </c>
      <c r="W59" s="415">
        <f t="shared" si="37"/>
        <v>0</v>
      </c>
      <c r="X59" s="416">
        <f t="shared" si="38"/>
        <v>0</v>
      </c>
      <c r="Y59" s="773" t="str">
        <f t="shared" si="39"/>
        <v>-</v>
      </c>
      <c r="Z59" s="953"/>
      <c r="AA59" s="567">
        <v>0</v>
      </c>
      <c r="AB59" s="415">
        <f t="shared" si="40"/>
        <v>0</v>
      </c>
      <c r="AC59" s="773" t="str">
        <f t="shared" si="41"/>
        <v>-</v>
      </c>
      <c r="AD59" s="783"/>
      <c r="AE59" s="1598"/>
    </row>
    <row r="60" spans="1:31" x14ac:dyDescent="0.3">
      <c r="A60" s="476" t="s">
        <v>95</v>
      </c>
      <c r="B60" s="1065">
        <v>45750.5</v>
      </c>
      <c r="C60" s="1042">
        <v>21066.31</v>
      </c>
      <c r="D60" s="604">
        <f t="shared" si="28"/>
        <v>-24684.19</v>
      </c>
      <c r="E60" s="194">
        <f t="shared" si="29"/>
        <v>-0.53953924000830589</v>
      </c>
      <c r="F60" s="171"/>
      <c r="G60" s="1065">
        <v>45750.5</v>
      </c>
      <c r="H60" s="1042">
        <v>17430.05</v>
      </c>
      <c r="I60" s="604">
        <f t="shared" si="30"/>
        <v>-28320.45</v>
      </c>
      <c r="J60" s="195">
        <f t="shared" si="31"/>
        <v>-0.61901946426815013</v>
      </c>
      <c r="K60" s="171"/>
      <c r="L60" s="601">
        <v>45750.5</v>
      </c>
      <c r="M60" s="1042">
        <v>44468.93</v>
      </c>
      <c r="N60" s="604">
        <f t="shared" si="32"/>
        <v>-1281.5699999999997</v>
      </c>
      <c r="O60" s="196">
        <f t="shared" si="33"/>
        <v>-2.8012152872646193E-2</v>
      </c>
      <c r="P60" s="171"/>
      <c r="Q60" s="1065"/>
      <c r="R60" s="1018"/>
      <c r="S60" s="416">
        <f t="shared" si="34"/>
        <v>0</v>
      </c>
      <c r="T60" s="1212" t="str">
        <f t="shared" si="35"/>
        <v>-</v>
      </c>
      <c r="U60" s="783"/>
      <c r="V60" s="567">
        <f t="shared" si="36"/>
        <v>137251.5</v>
      </c>
      <c r="W60" s="415">
        <f t="shared" si="37"/>
        <v>82965.290000000008</v>
      </c>
      <c r="X60" s="416">
        <f t="shared" si="38"/>
        <v>-54286.209999999992</v>
      </c>
      <c r="Y60" s="773">
        <f t="shared" si="39"/>
        <v>-0.39552361904970068</v>
      </c>
      <c r="Z60" s="951"/>
      <c r="AA60" s="567">
        <v>183002</v>
      </c>
      <c r="AB60" s="415">
        <f t="shared" si="40"/>
        <v>100036.70999999999</v>
      </c>
      <c r="AC60" s="773">
        <f t="shared" si="41"/>
        <v>0.54664271428727551</v>
      </c>
      <c r="AD60" s="783"/>
      <c r="AE60" s="1600"/>
    </row>
    <row r="61" spans="1:31" x14ac:dyDescent="0.3">
      <c r="A61" s="476" t="s">
        <v>96</v>
      </c>
      <c r="B61" s="1065">
        <v>47400</v>
      </c>
      <c r="C61" s="1042">
        <v>35231.120000000003</v>
      </c>
      <c r="D61" s="604">
        <f t="shared" si="28"/>
        <v>-12168.879999999997</v>
      </c>
      <c r="E61" s="194">
        <f t="shared" si="29"/>
        <v>-0.2567274261603375</v>
      </c>
      <c r="F61" s="171"/>
      <c r="G61" s="1065">
        <v>47400</v>
      </c>
      <c r="H61" s="1042">
        <v>33817.71</v>
      </c>
      <c r="I61" s="604">
        <f t="shared" si="30"/>
        <v>-13582.29</v>
      </c>
      <c r="J61" s="195">
        <f t="shared" si="31"/>
        <v>-0.28654620253164559</v>
      </c>
      <c r="K61" s="171"/>
      <c r="L61" s="601">
        <v>47400</v>
      </c>
      <c r="M61" s="1042">
        <v>31409.02</v>
      </c>
      <c r="N61" s="604">
        <f t="shared" si="32"/>
        <v>-15990.98</v>
      </c>
      <c r="O61" s="196">
        <f t="shared" si="33"/>
        <v>-0.33736244725738396</v>
      </c>
      <c r="P61" s="171"/>
      <c r="Q61" s="1065"/>
      <c r="R61" s="1018"/>
      <c r="S61" s="416">
        <f t="shared" si="34"/>
        <v>0</v>
      </c>
      <c r="T61" s="1212" t="str">
        <f t="shared" si="35"/>
        <v>-</v>
      </c>
      <c r="U61" s="783"/>
      <c r="V61" s="567">
        <f t="shared" si="36"/>
        <v>142200</v>
      </c>
      <c r="W61" s="415">
        <f t="shared" si="37"/>
        <v>100457.85</v>
      </c>
      <c r="X61" s="416">
        <f t="shared" si="38"/>
        <v>-41742.149999999994</v>
      </c>
      <c r="Y61" s="773">
        <f t="shared" si="39"/>
        <v>-0.29354535864978898</v>
      </c>
      <c r="Z61" s="951"/>
      <c r="AA61" s="567">
        <v>189600</v>
      </c>
      <c r="AB61" s="415">
        <f t="shared" si="40"/>
        <v>89142.15</v>
      </c>
      <c r="AC61" s="773">
        <f t="shared" si="41"/>
        <v>0.47015901898734175</v>
      </c>
      <c r="AD61" s="783"/>
      <c r="AE61" s="1600"/>
    </row>
    <row r="62" spans="1:31" x14ac:dyDescent="0.3">
      <c r="A62" s="476" t="s">
        <v>110</v>
      </c>
      <c r="B62" s="1065">
        <v>18750.25</v>
      </c>
      <c r="C62" s="1042">
        <v>14367.09</v>
      </c>
      <c r="D62" s="604">
        <f t="shared" si="28"/>
        <v>-4383.16</v>
      </c>
      <c r="E62" s="194">
        <f t="shared" si="29"/>
        <v>-0.23376541646111385</v>
      </c>
      <c r="F62" s="171"/>
      <c r="G62" s="1065">
        <v>18750.25</v>
      </c>
      <c r="H62" s="1042">
        <v>15543.18</v>
      </c>
      <c r="I62" s="604">
        <f t="shared" si="30"/>
        <v>-3207.0699999999997</v>
      </c>
      <c r="J62" s="195">
        <f t="shared" si="31"/>
        <v>-0.17104145278062957</v>
      </c>
      <c r="K62" s="171"/>
      <c r="L62" s="601">
        <v>18750.25</v>
      </c>
      <c r="M62" s="1042">
        <v>16813.73</v>
      </c>
      <c r="N62" s="604">
        <f t="shared" si="32"/>
        <v>-1936.5200000000004</v>
      </c>
      <c r="O62" s="196">
        <f t="shared" si="33"/>
        <v>-0.10327968960413864</v>
      </c>
      <c r="P62" s="171"/>
      <c r="Q62" s="1065"/>
      <c r="R62" s="1018"/>
      <c r="S62" s="416">
        <f t="shared" si="34"/>
        <v>0</v>
      </c>
      <c r="T62" s="1212" t="str">
        <f t="shared" si="35"/>
        <v>-</v>
      </c>
      <c r="U62" s="783"/>
      <c r="V62" s="567">
        <f t="shared" si="36"/>
        <v>56250.75</v>
      </c>
      <c r="W62" s="415">
        <f t="shared" si="37"/>
        <v>46724</v>
      </c>
      <c r="X62" s="416">
        <f t="shared" si="38"/>
        <v>-9526.75</v>
      </c>
      <c r="Y62" s="773">
        <f t="shared" si="39"/>
        <v>-0.16936218628196067</v>
      </c>
      <c r="Z62" s="951"/>
      <c r="AA62" s="567">
        <v>75001</v>
      </c>
      <c r="AB62" s="415">
        <f t="shared" si="40"/>
        <v>28277</v>
      </c>
      <c r="AC62" s="773">
        <f t="shared" si="41"/>
        <v>0.37702163971147051</v>
      </c>
      <c r="AD62" s="783"/>
      <c r="AE62" s="1593"/>
    </row>
    <row r="63" spans="1:31" x14ac:dyDescent="0.3">
      <c r="A63" s="476" t="s">
        <v>124</v>
      </c>
      <c r="B63" s="1065">
        <v>0</v>
      </c>
      <c r="C63" s="1042">
        <v>0</v>
      </c>
      <c r="D63" s="604">
        <f t="shared" si="28"/>
        <v>0</v>
      </c>
      <c r="E63" s="194" t="str">
        <f t="shared" si="29"/>
        <v>-</v>
      </c>
      <c r="F63" s="171"/>
      <c r="G63" s="1065">
        <v>0</v>
      </c>
      <c r="H63" s="1042">
        <v>0</v>
      </c>
      <c r="I63" s="604">
        <f t="shared" si="30"/>
        <v>0</v>
      </c>
      <c r="J63" s="195" t="str">
        <f t="shared" si="31"/>
        <v>-</v>
      </c>
      <c r="K63" s="171"/>
      <c r="L63" s="601">
        <v>0</v>
      </c>
      <c r="M63" s="1042">
        <v>0</v>
      </c>
      <c r="N63" s="604">
        <f t="shared" si="32"/>
        <v>0</v>
      </c>
      <c r="O63" s="196" t="str">
        <f t="shared" si="33"/>
        <v>-</v>
      </c>
      <c r="P63" s="171"/>
      <c r="Q63" s="1065"/>
      <c r="R63" s="1018"/>
      <c r="S63" s="416">
        <f t="shared" si="34"/>
        <v>0</v>
      </c>
      <c r="T63" s="1212" t="str">
        <f t="shared" si="35"/>
        <v>-</v>
      </c>
      <c r="U63" s="783"/>
      <c r="V63" s="567">
        <f t="shared" si="36"/>
        <v>0</v>
      </c>
      <c r="W63" s="415">
        <f t="shared" si="37"/>
        <v>0</v>
      </c>
      <c r="X63" s="416">
        <f t="shared" si="38"/>
        <v>0</v>
      </c>
      <c r="Y63" s="773" t="str">
        <f t="shared" si="39"/>
        <v>-</v>
      </c>
      <c r="Z63" s="951"/>
      <c r="AA63" s="567">
        <v>0</v>
      </c>
      <c r="AB63" s="415">
        <f t="shared" si="40"/>
        <v>0</v>
      </c>
      <c r="AC63" s="773" t="str">
        <f t="shared" si="41"/>
        <v>-</v>
      </c>
      <c r="AD63" s="785"/>
      <c r="AE63" s="1598"/>
    </row>
    <row r="64" spans="1:31" x14ac:dyDescent="0.3">
      <c r="A64" s="476" t="s">
        <v>123</v>
      </c>
      <c r="B64" s="1065">
        <v>8330000</v>
      </c>
      <c r="C64" s="1042">
        <v>8899842.6500000004</v>
      </c>
      <c r="D64" s="604">
        <f t="shared" si="28"/>
        <v>569842.65000000037</v>
      </c>
      <c r="E64" s="194">
        <f t="shared" si="29"/>
        <v>6.8408481392557063E-2</v>
      </c>
      <c r="F64" s="230"/>
      <c r="G64" s="1065">
        <v>8330000</v>
      </c>
      <c r="H64" s="1042">
        <v>7825074.7000000002</v>
      </c>
      <c r="I64" s="604">
        <f t="shared" si="30"/>
        <v>-504925.29999999981</v>
      </c>
      <c r="J64" s="195">
        <f t="shared" si="31"/>
        <v>-6.0615282112845115E-2</v>
      </c>
      <c r="K64" s="230"/>
      <c r="L64" s="601">
        <v>8330000</v>
      </c>
      <c r="M64" s="1042">
        <v>9226343.1300000008</v>
      </c>
      <c r="N64" s="604">
        <f t="shared" si="32"/>
        <v>896343.13000000082</v>
      </c>
      <c r="O64" s="196">
        <f t="shared" si="33"/>
        <v>0.10760421728691487</v>
      </c>
      <c r="P64" s="230"/>
      <c r="Q64" s="1065"/>
      <c r="R64" s="1018"/>
      <c r="S64" s="416">
        <f t="shared" si="34"/>
        <v>0</v>
      </c>
      <c r="T64" s="1212" t="str">
        <f t="shared" si="35"/>
        <v>-</v>
      </c>
      <c r="U64" s="785"/>
      <c r="V64" s="567">
        <f t="shared" si="36"/>
        <v>24990000</v>
      </c>
      <c r="W64" s="415">
        <f t="shared" si="37"/>
        <v>25951260.480000004</v>
      </c>
      <c r="X64" s="416">
        <f t="shared" si="38"/>
        <v>961260.48000000417</v>
      </c>
      <c r="Y64" s="773">
        <f t="shared" si="39"/>
        <v>3.8465805522209053E-2</v>
      </c>
      <c r="Z64" s="953"/>
      <c r="AA64" s="567">
        <v>33320000</v>
      </c>
      <c r="AB64" s="415">
        <f t="shared" si="40"/>
        <v>7368739.5199999958</v>
      </c>
      <c r="AC64" s="773">
        <f t="shared" si="41"/>
        <v>0.22115064585834321</v>
      </c>
      <c r="AD64" s="785"/>
      <c r="AE64" s="1596"/>
    </row>
    <row r="65" spans="1:31" x14ac:dyDescent="0.3">
      <c r="A65" s="476" t="s">
        <v>122</v>
      </c>
      <c r="B65" s="1065">
        <v>97500</v>
      </c>
      <c r="C65" s="1042">
        <v>30107.84</v>
      </c>
      <c r="D65" s="604">
        <f t="shared" si="28"/>
        <v>-67392.160000000003</v>
      </c>
      <c r="E65" s="194">
        <f t="shared" si="29"/>
        <v>-0.69120164102564108</v>
      </c>
      <c r="F65" s="230"/>
      <c r="G65" s="1065">
        <v>97500</v>
      </c>
      <c r="H65" s="1042">
        <v>74059.92</v>
      </c>
      <c r="I65" s="604">
        <f t="shared" si="30"/>
        <v>-23440.080000000002</v>
      </c>
      <c r="J65" s="195">
        <f t="shared" si="31"/>
        <v>-0.24041107692307695</v>
      </c>
      <c r="K65" s="230"/>
      <c r="L65" s="601">
        <v>97500</v>
      </c>
      <c r="M65" s="1042">
        <v>27957.279999999999</v>
      </c>
      <c r="N65" s="604">
        <f t="shared" si="32"/>
        <v>-69542.720000000001</v>
      </c>
      <c r="O65" s="196">
        <f t="shared" si="33"/>
        <v>-0.71325866666666671</v>
      </c>
      <c r="P65" s="230"/>
      <c r="Q65" s="1065"/>
      <c r="R65" s="1018"/>
      <c r="S65" s="416">
        <f t="shared" si="34"/>
        <v>0</v>
      </c>
      <c r="T65" s="1212" t="str">
        <f t="shared" si="35"/>
        <v>-</v>
      </c>
      <c r="U65" s="785"/>
      <c r="V65" s="567">
        <f t="shared" si="36"/>
        <v>292500</v>
      </c>
      <c r="W65" s="415">
        <f t="shared" si="37"/>
        <v>132125.03999999998</v>
      </c>
      <c r="X65" s="416">
        <f t="shared" si="38"/>
        <v>-160374.96000000002</v>
      </c>
      <c r="Y65" s="773">
        <f t="shared" si="39"/>
        <v>-0.54829046153846162</v>
      </c>
      <c r="Z65" s="953"/>
      <c r="AA65" s="567">
        <v>390000</v>
      </c>
      <c r="AB65" s="415">
        <f t="shared" si="40"/>
        <v>257874.96000000002</v>
      </c>
      <c r="AC65" s="773">
        <f t="shared" si="41"/>
        <v>0.66121784615384616</v>
      </c>
      <c r="AD65" s="785"/>
      <c r="AE65" s="1593"/>
    </row>
    <row r="66" spans="1:31" x14ac:dyDescent="0.3">
      <c r="A66" s="476" t="s">
        <v>114</v>
      </c>
      <c r="B66" s="1065">
        <v>0</v>
      </c>
      <c r="C66" s="1042">
        <v>0</v>
      </c>
      <c r="D66" s="604">
        <f t="shared" si="28"/>
        <v>0</v>
      </c>
      <c r="E66" s="194" t="str">
        <f t="shared" si="29"/>
        <v>-</v>
      </c>
      <c r="F66" s="230"/>
      <c r="G66" s="1065">
        <v>0</v>
      </c>
      <c r="H66" s="1042">
        <v>0</v>
      </c>
      <c r="I66" s="604">
        <f t="shared" si="30"/>
        <v>0</v>
      </c>
      <c r="J66" s="195" t="str">
        <f t="shared" si="31"/>
        <v>-</v>
      </c>
      <c r="K66" s="230"/>
      <c r="L66" s="601">
        <v>0</v>
      </c>
      <c r="M66" s="1042">
        <v>0</v>
      </c>
      <c r="N66" s="604">
        <f t="shared" si="32"/>
        <v>0</v>
      </c>
      <c r="O66" s="196" t="str">
        <f t="shared" si="33"/>
        <v>-</v>
      </c>
      <c r="P66" s="230"/>
      <c r="Q66" s="1065"/>
      <c r="R66" s="1018"/>
      <c r="S66" s="416">
        <f t="shared" si="34"/>
        <v>0</v>
      </c>
      <c r="T66" s="1212" t="str">
        <f t="shared" si="35"/>
        <v>-</v>
      </c>
      <c r="U66" s="785"/>
      <c r="V66" s="567">
        <f t="shared" si="36"/>
        <v>0</v>
      </c>
      <c r="W66" s="415">
        <f t="shared" si="37"/>
        <v>0</v>
      </c>
      <c r="X66" s="416">
        <f t="shared" si="38"/>
        <v>0</v>
      </c>
      <c r="Y66" s="773" t="str">
        <f t="shared" si="39"/>
        <v>-</v>
      </c>
      <c r="Z66" s="953"/>
      <c r="AA66" s="567">
        <v>0</v>
      </c>
      <c r="AB66" s="415">
        <f t="shared" si="40"/>
        <v>0</v>
      </c>
      <c r="AC66" s="773" t="str">
        <f t="shared" si="41"/>
        <v>-</v>
      </c>
      <c r="AD66" s="783"/>
      <c r="AE66" s="1596"/>
    </row>
    <row r="67" spans="1:31" x14ac:dyDescent="0.3">
      <c r="A67" s="476" t="s">
        <v>115</v>
      </c>
      <c r="B67" s="1065">
        <v>0</v>
      </c>
      <c r="C67" s="1042">
        <v>0</v>
      </c>
      <c r="D67" s="604">
        <f t="shared" si="28"/>
        <v>0</v>
      </c>
      <c r="E67" s="194" t="str">
        <f t="shared" si="29"/>
        <v>-</v>
      </c>
      <c r="F67" s="171"/>
      <c r="G67" s="1065">
        <v>0</v>
      </c>
      <c r="H67" s="1042">
        <v>0</v>
      </c>
      <c r="I67" s="604">
        <f t="shared" si="30"/>
        <v>0</v>
      </c>
      <c r="J67" s="195" t="str">
        <f t="shared" si="31"/>
        <v>-</v>
      </c>
      <c r="K67" s="171"/>
      <c r="L67" s="601">
        <v>0</v>
      </c>
      <c r="M67" s="1042">
        <v>0</v>
      </c>
      <c r="N67" s="604">
        <f t="shared" si="32"/>
        <v>0</v>
      </c>
      <c r="O67" s="196" t="str">
        <f t="shared" si="33"/>
        <v>-</v>
      </c>
      <c r="P67" s="171"/>
      <c r="Q67" s="1065"/>
      <c r="R67" s="1018"/>
      <c r="S67" s="416">
        <f t="shared" si="34"/>
        <v>0</v>
      </c>
      <c r="T67" s="1212" t="str">
        <f t="shared" si="35"/>
        <v>-</v>
      </c>
      <c r="U67" s="783"/>
      <c r="V67" s="567">
        <f t="shared" si="36"/>
        <v>0</v>
      </c>
      <c r="W67" s="415">
        <f t="shared" si="37"/>
        <v>0</v>
      </c>
      <c r="X67" s="416">
        <f t="shared" si="38"/>
        <v>0</v>
      </c>
      <c r="Y67" s="773" t="str">
        <f t="shared" si="39"/>
        <v>-</v>
      </c>
      <c r="Z67" s="951"/>
      <c r="AA67" s="567">
        <v>0</v>
      </c>
      <c r="AB67" s="415">
        <f t="shared" si="40"/>
        <v>0</v>
      </c>
      <c r="AC67" s="773" t="str">
        <f t="shared" si="41"/>
        <v>-</v>
      </c>
      <c r="AD67" s="785"/>
      <c r="AE67" s="1596"/>
    </row>
    <row r="68" spans="1:31" x14ac:dyDescent="0.3">
      <c r="A68" s="476" t="s">
        <v>121</v>
      </c>
      <c r="B68" s="1065">
        <v>1240000.5</v>
      </c>
      <c r="C68" s="1042">
        <v>885002.75</v>
      </c>
      <c r="D68" s="604">
        <f t="shared" si="28"/>
        <v>-354997.75</v>
      </c>
      <c r="E68" s="194">
        <f t="shared" si="29"/>
        <v>-0.28628839262564815</v>
      </c>
      <c r="F68" s="230"/>
      <c r="G68" s="1065">
        <v>1240000.5</v>
      </c>
      <c r="H68" s="1042">
        <v>1203233.1499999999</v>
      </c>
      <c r="I68" s="604">
        <f t="shared" si="30"/>
        <v>-36767.350000000093</v>
      </c>
      <c r="J68" s="195">
        <f t="shared" si="31"/>
        <v>-2.9651076753598158E-2</v>
      </c>
      <c r="K68" s="230"/>
      <c r="L68" s="601">
        <v>1240000.5</v>
      </c>
      <c r="M68" s="1042">
        <v>1038460.67</v>
      </c>
      <c r="N68" s="604">
        <f t="shared" si="32"/>
        <v>-201539.82999999996</v>
      </c>
      <c r="O68" s="196">
        <f t="shared" si="33"/>
        <v>-0.16253205543062277</v>
      </c>
      <c r="P68" s="230"/>
      <c r="Q68" s="1065"/>
      <c r="R68" s="1018"/>
      <c r="S68" s="416">
        <f t="shared" si="34"/>
        <v>0</v>
      </c>
      <c r="T68" s="1212" t="str">
        <f t="shared" si="35"/>
        <v>-</v>
      </c>
      <c r="U68" s="785"/>
      <c r="V68" s="567">
        <f t="shared" si="36"/>
        <v>3720001.5</v>
      </c>
      <c r="W68" s="415">
        <f t="shared" si="37"/>
        <v>3126696.57</v>
      </c>
      <c r="X68" s="416">
        <f t="shared" si="38"/>
        <v>-593304.93000000017</v>
      </c>
      <c r="Y68" s="773">
        <f t="shared" si="39"/>
        <v>-0.15949050826995639</v>
      </c>
      <c r="Z68" s="953"/>
      <c r="AA68" s="567">
        <v>4960002</v>
      </c>
      <c r="AB68" s="415">
        <f t="shared" si="40"/>
        <v>1833305.4300000002</v>
      </c>
      <c r="AC68" s="773">
        <f t="shared" si="41"/>
        <v>0.3696178812024673</v>
      </c>
      <c r="AD68" s="785"/>
      <c r="AE68" s="1598"/>
    </row>
    <row r="69" spans="1:31" x14ac:dyDescent="0.3">
      <c r="A69" s="476" t="s">
        <v>97</v>
      </c>
      <c r="B69" s="1065">
        <v>16250.25</v>
      </c>
      <c r="C69" s="1042">
        <v>0</v>
      </c>
      <c r="D69" s="604">
        <f t="shared" si="28"/>
        <v>-16250.25</v>
      </c>
      <c r="E69" s="194">
        <f t="shared" si="29"/>
        <v>-1</v>
      </c>
      <c r="F69" s="230"/>
      <c r="G69" s="1065">
        <v>16250.25</v>
      </c>
      <c r="H69" s="1042">
        <v>53347.8</v>
      </c>
      <c r="I69" s="604">
        <f t="shared" si="30"/>
        <v>37097.550000000003</v>
      </c>
      <c r="J69" s="195">
        <f t="shared" si="31"/>
        <v>2.2828910324456548</v>
      </c>
      <c r="K69" s="230"/>
      <c r="L69" s="601">
        <v>16250.25</v>
      </c>
      <c r="M69" s="1042">
        <v>42720.75</v>
      </c>
      <c r="N69" s="604">
        <f t="shared" si="32"/>
        <v>26470.5</v>
      </c>
      <c r="O69" s="196">
        <f t="shared" si="33"/>
        <v>1.6289287857109891</v>
      </c>
      <c r="P69" s="230"/>
      <c r="Q69" s="1065"/>
      <c r="R69" s="1018"/>
      <c r="S69" s="416">
        <f t="shared" si="34"/>
        <v>0</v>
      </c>
      <c r="T69" s="1212" t="str">
        <f t="shared" si="35"/>
        <v>-</v>
      </c>
      <c r="U69" s="785"/>
      <c r="V69" s="567">
        <f t="shared" si="36"/>
        <v>48750.75</v>
      </c>
      <c r="W69" s="415">
        <f t="shared" si="37"/>
        <v>96068.55</v>
      </c>
      <c r="X69" s="416">
        <f t="shared" si="38"/>
        <v>47317.8</v>
      </c>
      <c r="Y69" s="773">
        <f t="shared" si="39"/>
        <v>0.9706066060522146</v>
      </c>
      <c r="Z69" s="953"/>
      <c r="AA69" s="567">
        <v>105000</v>
      </c>
      <c r="AB69" s="415">
        <f t="shared" si="40"/>
        <v>8931.4499999999971</v>
      </c>
      <c r="AC69" s="773">
        <f t="shared" si="41"/>
        <v>8.5061428571428538E-2</v>
      </c>
      <c r="AD69" s="783"/>
      <c r="AE69" s="1593"/>
    </row>
    <row r="70" spans="1:31" x14ac:dyDescent="0.3">
      <c r="A70" s="476" t="s">
        <v>98</v>
      </c>
      <c r="B70" s="1065">
        <v>500</v>
      </c>
      <c r="C70" s="1042">
        <v>0</v>
      </c>
      <c r="D70" s="604">
        <f t="shared" si="28"/>
        <v>-500</v>
      </c>
      <c r="E70" s="194">
        <f t="shared" si="29"/>
        <v>-1</v>
      </c>
      <c r="F70" s="171"/>
      <c r="G70" s="1065">
        <v>500</v>
      </c>
      <c r="H70" s="1042">
        <v>0</v>
      </c>
      <c r="I70" s="604">
        <f t="shared" si="30"/>
        <v>-500</v>
      </c>
      <c r="J70" s="195">
        <f t="shared" si="31"/>
        <v>-1</v>
      </c>
      <c r="K70" s="171"/>
      <c r="L70" s="601">
        <v>500</v>
      </c>
      <c r="M70" s="1042">
        <v>0</v>
      </c>
      <c r="N70" s="396">
        <v>0</v>
      </c>
      <c r="O70" s="196">
        <f t="shared" si="33"/>
        <v>0</v>
      </c>
      <c r="P70" s="171"/>
      <c r="Q70" s="1065"/>
      <c r="R70" s="1018"/>
      <c r="S70" s="416">
        <f t="shared" si="34"/>
        <v>0</v>
      </c>
      <c r="T70" s="1212" t="str">
        <f t="shared" si="35"/>
        <v>-</v>
      </c>
      <c r="U70" s="783"/>
      <c r="V70" s="567">
        <f t="shared" si="36"/>
        <v>1500</v>
      </c>
      <c r="W70" s="415">
        <f t="shared" si="37"/>
        <v>0</v>
      </c>
      <c r="X70" s="416">
        <f t="shared" si="38"/>
        <v>-1500</v>
      </c>
      <c r="Y70" s="773">
        <f t="shared" si="39"/>
        <v>-1</v>
      </c>
      <c r="Z70" s="951"/>
      <c r="AA70" s="567">
        <v>2000</v>
      </c>
      <c r="AB70" s="415">
        <f t="shared" si="40"/>
        <v>2000</v>
      </c>
      <c r="AC70" s="773">
        <f t="shared" si="41"/>
        <v>1</v>
      </c>
      <c r="AD70" s="785"/>
      <c r="AE70" s="1598"/>
    </row>
    <row r="71" spans="1:31" x14ac:dyDescent="0.3">
      <c r="A71" s="476" t="s">
        <v>116</v>
      </c>
      <c r="B71" s="1065">
        <v>0</v>
      </c>
      <c r="C71" s="1042">
        <v>0</v>
      </c>
      <c r="D71" s="604">
        <f t="shared" si="28"/>
        <v>0</v>
      </c>
      <c r="E71" s="194" t="str">
        <f t="shared" si="29"/>
        <v>-</v>
      </c>
      <c r="F71" s="230"/>
      <c r="G71" s="1065">
        <v>0</v>
      </c>
      <c r="H71" s="1042">
        <v>0</v>
      </c>
      <c r="I71" s="604">
        <f t="shared" si="30"/>
        <v>0</v>
      </c>
      <c r="J71" s="195" t="str">
        <f t="shared" si="31"/>
        <v>-</v>
      </c>
      <c r="K71" s="230"/>
      <c r="L71" s="601">
        <v>0</v>
      </c>
      <c r="M71" s="1042">
        <v>0</v>
      </c>
      <c r="N71" s="604">
        <f t="shared" si="32"/>
        <v>0</v>
      </c>
      <c r="O71" s="196" t="str">
        <f t="shared" si="33"/>
        <v>-</v>
      </c>
      <c r="P71" s="230"/>
      <c r="Q71" s="1065"/>
      <c r="R71" s="1018"/>
      <c r="S71" s="416">
        <f t="shared" si="34"/>
        <v>0</v>
      </c>
      <c r="T71" s="1212" t="str">
        <f t="shared" si="35"/>
        <v>-</v>
      </c>
      <c r="U71" s="785"/>
      <c r="V71" s="567">
        <f t="shared" si="36"/>
        <v>0</v>
      </c>
      <c r="W71" s="415">
        <f t="shared" si="37"/>
        <v>0</v>
      </c>
      <c r="X71" s="416">
        <f t="shared" si="38"/>
        <v>0</v>
      </c>
      <c r="Y71" s="773" t="str">
        <f t="shared" si="39"/>
        <v>-</v>
      </c>
      <c r="Z71" s="953"/>
      <c r="AA71" s="567">
        <v>0</v>
      </c>
      <c r="AB71" s="415">
        <f t="shared" si="40"/>
        <v>0</v>
      </c>
      <c r="AC71" s="773" t="str">
        <f t="shared" si="41"/>
        <v>-</v>
      </c>
      <c r="AD71" s="783"/>
      <c r="AE71" s="1598"/>
    </row>
    <row r="72" spans="1:31" x14ac:dyDescent="0.3">
      <c r="A72" s="476" t="s">
        <v>99</v>
      </c>
      <c r="B72" s="1065">
        <v>20000.25</v>
      </c>
      <c r="C72" s="1042">
        <v>3040.98</v>
      </c>
      <c r="D72" s="604">
        <f t="shared" si="28"/>
        <v>-16959.27</v>
      </c>
      <c r="E72" s="194">
        <f t="shared" si="29"/>
        <v>-0.84795290058874262</v>
      </c>
      <c r="F72" s="171"/>
      <c r="G72" s="1065">
        <v>20000.25</v>
      </c>
      <c r="H72" s="1042">
        <v>3239.23</v>
      </c>
      <c r="I72" s="604">
        <f t="shared" si="30"/>
        <v>-16761.02</v>
      </c>
      <c r="J72" s="195">
        <f t="shared" si="31"/>
        <v>-0.83804052449344391</v>
      </c>
      <c r="K72" s="171"/>
      <c r="L72" s="601">
        <v>20000.25</v>
      </c>
      <c r="M72" s="1042">
        <v>17334.57</v>
      </c>
      <c r="N72" s="604">
        <f t="shared" si="32"/>
        <v>-2665.6800000000003</v>
      </c>
      <c r="O72" s="196">
        <f t="shared" si="33"/>
        <v>-0.13328233397082537</v>
      </c>
      <c r="P72" s="171"/>
      <c r="Q72" s="1065"/>
      <c r="R72" s="1018"/>
      <c r="S72" s="416">
        <f t="shared" si="34"/>
        <v>0</v>
      </c>
      <c r="T72" s="1212" t="str">
        <f t="shared" si="35"/>
        <v>-</v>
      </c>
      <c r="U72" s="783"/>
      <c r="V72" s="567">
        <f t="shared" si="36"/>
        <v>60000.75</v>
      </c>
      <c r="W72" s="415">
        <f t="shared" si="37"/>
        <v>23614.78</v>
      </c>
      <c r="X72" s="416">
        <f t="shared" si="38"/>
        <v>-36385.97</v>
      </c>
      <c r="Y72" s="773">
        <f t="shared" si="39"/>
        <v>-0.60642525301767058</v>
      </c>
      <c r="Z72" s="951"/>
      <c r="AA72" s="567">
        <v>80001</v>
      </c>
      <c r="AB72" s="415">
        <f t="shared" si="40"/>
        <v>56386.22</v>
      </c>
      <c r="AC72" s="773">
        <f t="shared" si="41"/>
        <v>0.70481893976325294</v>
      </c>
      <c r="AD72" s="785"/>
      <c r="AE72" s="1600"/>
    </row>
    <row r="73" spans="1:31" x14ac:dyDescent="0.3">
      <c r="A73" s="476" t="s">
        <v>100</v>
      </c>
      <c r="B73" s="1065">
        <v>500</v>
      </c>
      <c r="C73" s="1042">
        <v>0</v>
      </c>
      <c r="D73" s="604">
        <f t="shared" si="28"/>
        <v>-500</v>
      </c>
      <c r="E73" s="194">
        <f t="shared" si="29"/>
        <v>-1</v>
      </c>
      <c r="F73" s="230"/>
      <c r="G73" s="1065">
        <v>500</v>
      </c>
      <c r="H73" s="1042">
        <v>0</v>
      </c>
      <c r="I73" s="604">
        <f t="shared" si="30"/>
        <v>-500</v>
      </c>
      <c r="J73" s="195">
        <f t="shared" si="31"/>
        <v>-1</v>
      </c>
      <c r="K73" s="230"/>
      <c r="L73" s="601">
        <v>500</v>
      </c>
      <c r="M73" s="1042">
        <v>0</v>
      </c>
      <c r="N73" s="396">
        <v>0</v>
      </c>
      <c r="O73" s="196"/>
      <c r="P73" s="230"/>
      <c r="Q73" s="1065"/>
      <c r="R73" s="1018"/>
      <c r="S73" s="416">
        <f t="shared" si="34"/>
        <v>0</v>
      </c>
      <c r="T73" s="1212"/>
      <c r="U73" s="785"/>
      <c r="V73" s="567">
        <f t="shared" si="36"/>
        <v>1500</v>
      </c>
      <c r="W73" s="415">
        <f t="shared" si="37"/>
        <v>0</v>
      </c>
      <c r="X73" s="416">
        <f t="shared" si="38"/>
        <v>-1500</v>
      </c>
      <c r="Y73" s="773">
        <f t="shared" si="39"/>
        <v>-1</v>
      </c>
      <c r="Z73" s="953"/>
      <c r="AA73" s="567">
        <v>1000</v>
      </c>
      <c r="AB73" s="415">
        <f t="shared" si="40"/>
        <v>1000</v>
      </c>
      <c r="AC73" s="773">
        <f t="shared" si="41"/>
        <v>1</v>
      </c>
      <c r="AD73" s="783"/>
      <c r="AE73" s="1603"/>
    </row>
    <row r="74" spans="1:31" x14ac:dyDescent="0.3">
      <c r="A74" s="496" t="s">
        <v>101</v>
      </c>
      <c r="B74" s="1065">
        <v>51250</v>
      </c>
      <c r="C74" s="1042">
        <v>27599.1</v>
      </c>
      <c r="D74" s="604">
        <f t="shared" si="28"/>
        <v>-23650.9</v>
      </c>
      <c r="E74" s="194">
        <f t="shared" si="29"/>
        <v>-0.46148097560975615</v>
      </c>
      <c r="F74" s="171"/>
      <c r="G74" s="1065">
        <v>51250</v>
      </c>
      <c r="H74" s="1042">
        <v>32825.769999999997</v>
      </c>
      <c r="I74" s="604">
        <f t="shared" si="30"/>
        <v>-18424.230000000003</v>
      </c>
      <c r="J74" s="195">
        <f t="shared" si="31"/>
        <v>-0.35949717073170739</v>
      </c>
      <c r="K74" s="171"/>
      <c r="L74" s="601">
        <v>51250</v>
      </c>
      <c r="M74" s="1042">
        <v>67704.160000000003</v>
      </c>
      <c r="N74" s="604">
        <f t="shared" si="32"/>
        <v>16454.160000000003</v>
      </c>
      <c r="O74" s="196">
        <f>IF(ISERROR(N74/L74),"-",N74/L74)</f>
        <v>0.32105678048780495</v>
      </c>
      <c r="P74" s="171"/>
      <c r="Q74" s="1065"/>
      <c r="R74" s="1018"/>
      <c r="S74" s="416">
        <f t="shared" si="34"/>
        <v>0</v>
      </c>
      <c r="T74" s="1212" t="str">
        <f>IF(ISERROR(S74/Q74),"-",S74/Q74)</f>
        <v>-</v>
      </c>
      <c r="U74" s="783"/>
      <c r="V74" s="567">
        <f t="shared" si="36"/>
        <v>153750</v>
      </c>
      <c r="W74" s="415">
        <f t="shared" si="37"/>
        <v>128129.03</v>
      </c>
      <c r="X74" s="416">
        <f t="shared" si="38"/>
        <v>-25620.97</v>
      </c>
      <c r="Y74" s="773">
        <f t="shared" si="39"/>
        <v>-0.16664045528455285</v>
      </c>
      <c r="Z74" s="951"/>
      <c r="AA74" s="567">
        <v>205000</v>
      </c>
      <c r="AB74" s="415">
        <f t="shared" si="40"/>
        <v>76870.97</v>
      </c>
      <c r="AC74" s="773">
        <f t="shared" si="41"/>
        <v>0.37498034146341463</v>
      </c>
      <c r="AD74" s="783"/>
      <c r="AE74" s="1596"/>
    </row>
    <row r="75" spans="1:31" x14ac:dyDescent="0.3">
      <c r="A75" s="497" t="s">
        <v>120</v>
      </c>
      <c r="B75" s="1065">
        <v>0</v>
      </c>
      <c r="C75" s="1042">
        <v>0</v>
      </c>
      <c r="D75" s="604">
        <f t="shared" si="28"/>
        <v>0</v>
      </c>
      <c r="E75" s="194" t="str">
        <f t="shared" si="29"/>
        <v>-</v>
      </c>
      <c r="F75" s="171"/>
      <c r="G75" s="1065">
        <v>0</v>
      </c>
      <c r="H75" s="1042">
        <v>0</v>
      </c>
      <c r="I75" s="604">
        <f t="shared" si="30"/>
        <v>0</v>
      </c>
      <c r="J75" s="195" t="str">
        <f t="shared" si="31"/>
        <v>-</v>
      </c>
      <c r="K75" s="171"/>
      <c r="L75" s="618">
        <v>0</v>
      </c>
      <c r="M75" s="396">
        <v>0</v>
      </c>
      <c r="N75" s="416">
        <f t="shared" si="32"/>
        <v>0</v>
      </c>
      <c r="O75" s="196" t="str">
        <f>IF(ISERROR(N75/L75),"-",N75/L75)</f>
        <v>-</v>
      </c>
      <c r="P75" s="171"/>
      <c r="Q75" s="1065"/>
      <c r="R75" s="1084"/>
      <c r="S75" s="416">
        <f t="shared" si="34"/>
        <v>0</v>
      </c>
      <c r="T75" s="1212" t="str">
        <f>IF(ISERROR(S75/Q75),"-",S75/Q75)</f>
        <v>-</v>
      </c>
      <c r="U75" s="783"/>
      <c r="V75" s="567">
        <f t="shared" si="36"/>
        <v>0</v>
      </c>
      <c r="W75" s="415">
        <f t="shared" si="37"/>
        <v>0</v>
      </c>
      <c r="X75" s="416">
        <f t="shared" si="38"/>
        <v>0</v>
      </c>
      <c r="Y75" s="773" t="str">
        <f t="shared" si="39"/>
        <v>-</v>
      </c>
      <c r="Z75" s="951"/>
      <c r="AA75" s="567">
        <v>0</v>
      </c>
      <c r="AB75" s="415">
        <f t="shared" si="40"/>
        <v>0</v>
      </c>
      <c r="AC75" s="773" t="str">
        <f t="shared" si="41"/>
        <v>-</v>
      </c>
      <c r="AD75" s="784"/>
      <c r="AE75" s="1591"/>
    </row>
    <row r="76" spans="1:31" x14ac:dyDescent="0.3">
      <c r="A76" s="477" t="s">
        <v>102</v>
      </c>
      <c r="B76" s="1046">
        <f>SUM(B43:B75)</f>
        <v>10431027.25</v>
      </c>
      <c r="C76" s="1232">
        <f>SUM(C43:C75)</f>
        <v>10774390.220000001</v>
      </c>
      <c r="D76" s="565">
        <f>SUM(D43:D75)</f>
        <v>343362.97000000032</v>
      </c>
      <c r="E76" s="211">
        <f t="shared" si="29"/>
        <v>3.2917464576655224E-2</v>
      </c>
      <c r="F76" s="178"/>
      <c r="G76" s="1582">
        <f>SUM(G43:G75)</f>
        <v>10431027.25</v>
      </c>
      <c r="H76" s="1000">
        <f>SUM(H43:H75)</f>
        <v>10116480.660000002</v>
      </c>
      <c r="I76" s="565">
        <f>SUM(I43:I75)</f>
        <v>-314546.58999999991</v>
      </c>
      <c r="J76" s="211">
        <f>IF(ISERROR(I76/G76),"-",I76/G76)</f>
        <v>-3.0154900611538516E-2</v>
      </c>
      <c r="K76" s="178"/>
      <c r="L76" s="432">
        <f>SUM(L43:L75)</f>
        <v>10431027.25</v>
      </c>
      <c r="M76" s="433">
        <f>SUM(M43:M75)</f>
        <v>10996792.140000001</v>
      </c>
      <c r="N76" s="433">
        <f>SUM(N43:N75)</f>
        <v>572264.89000000083</v>
      </c>
      <c r="O76" s="211">
        <f>IF(ISERROR(N76/L76),"-",N76/L76)</f>
        <v>5.4861796090121498E-2</v>
      </c>
      <c r="P76" s="178"/>
      <c r="Q76" s="432">
        <f>SUM(Q43:Q75)</f>
        <v>0</v>
      </c>
      <c r="R76" s="433">
        <f>SUM(R43:R75)</f>
        <v>0</v>
      </c>
      <c r="S76" s="433">
        <f>SUM(S43:S75)</f>
        <v>0</v>
      </c>
      <c r="T76" s="1219" t="str">
        <f>IF(ISERROR(S76/Q76),"-",S76/Q76)</f>
        <v>-</v>
      </c>
      <c r="U76" s="784"/>
      <c r="V76" s="565">
        <f>SUM(V44:V75)</f>
        <v>31293081.75</v>
      </c>
      <c r="W76" s="433">
        <f>SUM(W44:W75)</f>
        <v>31887663.020000007</v>
      </c>
      <c r="X76" s="433">
        <f>SUM(X43:X75)</f>
        <v>594581.27000000398</v>
      </c>
      <c r="Y76" s="1219">
        <f t="shared" si="39"/>
        <v>1.9000406375763997E-2</v>
      </c>
      <c r="Z76" s="784"/>
      <c r="AA76" s="565">
        <f>SUM(AA44:AA75)</f>
        <v>41826108</v>
      </c>
      <c r="AB76" s="433">
        <f>SUM(AB43:AB75)</f>
        <v>9938444.9799999967</v>
      </c>
      <c r="AC76" s="1219">
        <f t="shared" si="41"/>
        <v>0.23761342987016618</v>
      </c>
      <c r="AD76" s="781"/>
      <c r="AE76" s="1597"/>
    </row>
    <row r="77" spans="1:31" x14ac:dyDescent="0.3">
      <c r="A77" s="1338"/>
      <c r="B77" s="752"/>
      <c r="C77" s="1086"/>
      <c r="D77" s="760"/>
      <c r="E77" s="253"/>
      <c r="F77" s="160"/>
      <c r="G77" s="1064"/>
      <c r="H77" s="1233"/>
      <c r="I77" s="792"/>
      <c r="J77" s="256"/>
      <c r="K77" s="160"/>
      <c r="L77" s="448"/>
      <c r="M77" s="449"/>
      <c r="N77" s="449"/>
      <c r="O77" s="257"/>
      <c r="P77" s="160"/>
      <c r="Q77" s="450"/>
      <c r="R77" s="451"/>
      <c r="S77" s="451"/>
      <c r="T77" s="1220"/>
      <c r="U77" s="781"/>
      <c r="V77" s="1248"/>
      <c r="W77" s="453"/>
      <c r="X77" s="449"/>
      <c r="Y77" s="1245"/>
      <c r="Z77" s="781"/>
      <c r="AA77" s="1248"/>
      <c r="AB77" s="449"/>
      <c r="AC77" s="1245"/>
      <c r="AD77" s="785"/>
      <c r="AE77" s="1591"/>
    </row>
    <row r="78" spans="1:31" x14ac:dyDescent="0.3">
      <c r="A78" s="1467" t="s">
        <v>103</v>
      </c>
      <c r="B78" s="1046">
        <f>B41+B76+B77</f>
        <v>11840748</v>
      </c>
      <c r="C78" s="1232">
        <f>C41+C76+C77</f>
        <v>11645172.460000001</v>
      </c>
      <c r="D78" s="565">
        <f>D41+D76+D77</f>
        <v>-195575.53999999969</v>
      </c>
      <c r="E78" s="211">
        <f>IF(ISERROR(D78/B78),"-",D78/B78)</f>
        <v>-1.6517160909091191E-2</v>
      </c>
      <c r="F78" s="230"/>
      <c r="G78" s="1046">
        <f>G41+G76+G77</f>
        <v>11840748</v>
      </c>
      <c r="H78" s="1232">
        <f>H41+H76+H77</f>
        <v>11067731.740000002</v>
      </c>
      <c r="I78" s="565">
        <f>I41+I76+I77</f>
        <v>-773016.26</v>
      </c>
      <c r="J78" s="211">
        <f>IF(ISERROR(I78/G78),"-",I78/G78)</f>
        <v>-6.5284411086191513E-2</v>
      </c>
      <c r="K78" s="230"/>
      <c r="L78" s="432">
        <f>L41+L76+L77</f>
        <v>11840748</v>
      </c>
      <c r="M78" s="433">
        <f>M41+M76+M77</f>
        <v>11872640.08</v>
      </c>
      <c r="N78" s="433">
        <f>N41+N76+N77</f>
        <v>38392.080000000889</v>
      </c>
      <c r="O78" s="211">
        <f>IF(ISERROR(N78/L78),"-",N78/L78)</f>
        <v>3.2423694854413665E-3</v>
      </c>
      <c r="P78" s="230"/>
      <c r="Q78" s="432">
        <f>Q41+Q76+Q77</f>
        <v>0</v>
      </c>
      <c r="R78" s="433">
        <f>R41+R76+R77</f>
        <v>0</v>
      </c>
      <c r="S78" s="433">
        <f>S41+S76+S77</f>
        <v>0</v>
      </c>
      <c r="T78" s="1219" t="str">
        <f>IF(ISERROR(S78/Q78),"-",S78/Q78)</f>
        <v>-</v>
      </c>
      <c r="U78" s="785"/>
      <c r="V78" s="565">
        <f>V41+V76+V77</f>
        <v>35522244</v>
      </c>
      <c r="W78" s="433">
        <f>W41+W76+W77</f>
        <v>34585544.280000009</v>
      </c>
      <c r="X78" s="433">
        <f>X41+X76+X77</f>
        <v>-936699.71999999625</v>
      </c>
      <c r="Y78" s="1219">
        <f>IF(ISERROR(X78/V78),"-",X78/V78)</f>
        <v>-2.6369384771975448E-2</v>
      </c>
      <c r="Z78" s="785"/>
      <c r="AA78" s="565">
        <f>AA41+AA76+AA77</f>
        <v>47490950</v>
      </c>
      <c r="AB78" s="433">
        <f>AB41+AB76+AB77</f>
        <v>12905405.719999997</v>
      </c>
      <c r="AC78" s="1219">
        <f>IF(ISERROR(AB78/AA78),"-",AB78/AA78)</f>
        <v>0.27174452648346681</v>
      </c>
      <c r="AD78" s="781"/>
      <c r="AE78" s="1597"/>
    </row>
    <row r="79" spans="1:31" ht="33" customHeight="1" x14ac:dyDescent="0.3">
      <c r="A79" s="1651" t="s">
        <v>166</v>
      </c>
      <c r="B79" s="752">
        <f>B25-B78</f>
        <v>3468493.25</v>
      </c>
      <c r="C79" s="1086">
        <f>C25-C78</f>
        <v>3977808.4699999988</v>
      </c>
      <c r="D79" s="760">
        <f>D25-D78</f>
        <v>509315.22000000067</v>
      </c>
      <c r="E79" s="1087"/>
      <c r="F79" s="1208" t="e">
        <f>#REF!-F78</f>
        <v>#REF!</v>
      </c>
      <c r="G79" s="752">
        <f>G25-G78</f>
        <v>3468493.25</v>
      </c>
      <c r="H79" s="1086">
        <f>H25-H78</f>
        <v>5016693.299999997</v>
      </c>
      <c r="I79" s="760">
        <f>I25-I78</f>
        <v>1548200.0499999998</v>
      </c>
      <c r="J79" s="1087"/>
      <c r="K79" s="756" t="e">
        <f>#REF!-K78</f>
        <v>#REF!</v>
      </c>
      <c r="L79" s="752">
        <f>L25-L78</f>
        <v>3468493.25</v>
      </c>
      <c r="M79" s="776">
        <f>M25-M78</f>
        <v>10727397.090000002</v>
      </c>
      <c r="N79" s="1049">
        <f>N25-N78</f>
        <v>7252607.3399999989</v>
      </c>
      <c r="O79" s="756"/>
      <c r="P79" s="262" t="e">
        <f>#REF!-P78</f>
        <v>#REF!</v>
      </c>
      <c r="Q79" s="752">
        <f>Q25-Q78</f>
        <v>0</v>
      </c>
      <c r="R79" s="449">
        <f>R25-R78</f>
        <v>0</v>
      </c>
      <c r="S79" s="449">
        <f>S25-S78</f>
        <v>0</v>
      </c>
      <c r="T79" s="727"/>
      <c r="U79" s="726" t="e">
        <f>#REF!-U78</f>
        <v>#REF!</v>
      </c>
      <c r="V79" s="958">
        <f>V25-V78</f>
        <v>10405479.75</v>
      </c>
      <c r="W79" s="776">
        <f>W25-W78</f>
        <v>19721898.859999992</v>
      </c>
      <c r="X79" s="449">
        <f>X25-X78</f>
        <v>9316419.1100000031</v>
      </c>
      <c r="Y79" s="1208"/>
      <c r="Z79" s="726" t="e">
        <f>#REF!-Z78</f>
        <v>#REF!</v>
      </c>
      <c r="AA79" s="958">
        <f>AA25-AA78</f>
        <v>16046014</v>
      </c>
      <c r="AB79" s="449">
        <f>AB25-AB78</f>
        <v>-3675884.8600000031</v>
      </c>
      <c r="AC79" s="1208"/>
      <c r="AD79" s="781"/>
      <c r="AE79" s="1591"/>
    </row>
    <row r="80" spans="1:31" x14ac:dyDescent="0.3">
      <c r="A80" s="1652" t="s">
        <v>167</v>
      </c>
      <c r="B80" s="1293"/>
      <c r="C80" s="575"/>
      <c r="D80" s="569">
        <f>C80-B80</f>
        <v>0</v>
      </c>
      <c r="E80" s="1539"/>
      <c r="F80" s="160"/>
      <c r="G80" s="1064"/>
      <c r="H80" s="1233"/>
      <c r="I80" s="760">
        <f>H80-G80</f>
        <v>0</v>
      </c>
      <c r="J80" s="1085"/>
      <c r="K80" s="160"/>
      <c r="L80" s="752"/>
      <c r="M80" s="449"/>
      <c r="N80" s="449">
        <f>M80-L80</f>
        <v>0</v>
      </c>
      <c r="O80" s="1088"/>
      <c r="P80" s="160"/>
      <c r="Q80" s="1064"/>
      <c r="R80" s="451"/>
      <c r="S80" s="449">
        <f>R80-Q80</f>
        <v>0</v>
      </c>
      <c r="T80" s="1221"/>
      <c r="U80" s="781"/>
      <c r="V80" s="1068"/>
      <c r="W80" s="1089"/>
      <c r="X80" s="449"/>
      <c r="Y80" s="1208"/>
      <c r="Z80" s="781"/>
      <c r="AA80" s="1068">
        <v>220001</v>
      </c>
      <c r="AB80" s="449"/>
      <c r="AC80" s="1208"/>
      <c r="AD80" s="781"/>
      <c r="AE80" s="1597"/>
    </row>
    <row r="81" spans="1:31" ht="25.5" customHeight="1" x14ac:dyDescent="0.3">
      <c r="A81" s="1651" t="s">
        <v>168</v>
      </c>
      <c r="B81" s="1656">
        <f>B79-B80</f>
        <v>3468493.25</v>
      </c>
      <c r="C81" s="1302">
        <f t="shared" ref="C81:AA81" si="42">C79-C80</f>
        <v>3977808.4699999988</v>
      </c>
      <c r="D81" s="1648">
        <f t="shared" si="42"/>
        <v>509315.22000000067</v>
      </c>
      <c r="E81" s="1657">
        <f>E79-E80</f>
        <v>0</v>
      </c>
      <c r="F81" s="1208" t="e">
        <f t="shared" si="42"/>
        <v>#REF!</v>
      </c>
      <c r="G81" s="752">
        <f t="shared" si="42"/>
        <v>3468493.25</v>
      </c>
      <c r="H81" s="1306">
        <f>H79-H80</f>
        <v>5016693.299999997</v>
      </c>
      <c r="I81" s="1460">
        <f>I79-I80</f>
        <v>1548200.0499999998</v>
      </c>
      <c r="J81" s="1087">
        <f>J79-J80</f>
        <v>0</v>
      </c>
      <c r="K81" s="756" t="e">
        <f t="shared" si="42"/>
        <v>#REF!</v>
      </c>
      <c r="L81" s="752">
        <f>L79-L80</f>
        <v>3468493.25</v>
      </c>
      <c r="M81" s="776">
        <f>M79-M80</f>
        <v>10727397.090000002</v>
      </c>
      <c r="N81" s="1049">
        <f>N79-N80</f>
        <v>7252607.3399999989</v>
      </c>
      <c r="O81" s="756">
        <f t="shared" si="42"/>
        <v>0</v>
      </c>
      <c r="P81" s="262" t="e">
        <f t="shared" si="42"/>
        <v>#REF!</v>
      </c>
      <c r="Q81" s="752">
        <f t="shared" si="42"/>
        <v>0</v>
      </c>
      <c r="R81" s="449">
        <f t="shared" si="42"/>
        <v>0</v>
      </c>
      <c r="S81" s="449">
        <f t="shared" si="42"/>
        <v>0</v>
      </c>
      <c r="T81" s="727">
        <f t="shared" si="42"/>
        <v>0</v>
      </c>
      <c r="U81" s="726" t="e">
        <f t="shared" si="42"/>
        <v>#REF!</v>
      </c>
      <c r="V81" s="958">
        <f>V79-V80</f>
        <v>10405479.75</v>
      </c>
      <c r="W81" s="776">
        <f t="shared" si="42"/>
        <v>19721898.859999992</v>
      </c>
      <c r="X81" s="449">
        <f t="shared" si="42"/>
        <v>9316419.1100000031</v>
      </c>
      <c r="Y81" s="1208">
        <f t="shared" si="42"/>
        <v>0</v>
      </c>
      <c r="Z81" s="726" t="e">
        <f t="shared" si="42"/>
        <v>#REF!</v>
      </c>
      <c r="AA81" s="958">
        <f t="shared" si="42"/>
        <v>15826013</v>
      </c>
      <c r="AB81" s="449">
        <f>AB79-AB80</f>
        <v>-3675884.8600000031</v>
      </c>
      <c r="AC81" s="1208">
        <f>AC79-AC80</f>
        <v>0</v>
      </c>
      <c r="AD81" s="785"/>
      <c r="AE81" s="1591"/>
    </row>
    <row r="82" spans="1:31" ht="29.25" customHeight="1" x14ac:dyDescent="0.3">
      <c r="A82" s="1653" t="s">
        <v>104</v>
      </c>
      <c r="B82" s="1658"/>
      <c r="C82" s="418"/>
      <c r="D82" s="1649">
        <f>B82-C82</f>
        <v>0</v>
      </c>
      <c r="E82" s="1659" t="str">
        <f>IF(ISERROR(D82/B82),"-",D82/B82)</f>
        <v>-</v>
      </c>
      <c r="F82" s="230"/>
      <c r="G82" s="426"/>
      <c r="H82" s="427"/>
      <c r="I82" s="427">
        <f>G82-H82</f>
        <v>0</v>
      </c>
      <c r="J82" s="195" t="str">
        <f>IF(ISERROR(I82/G82),"-",I82/G82)</f>
        <v>-</v>
      </c>
      <c r="K82" s="230"/>
      <c r="L82" s="414"/>
      <c r="M82" s="415"/>
      <c r="N82" s="415">
        <f>L82-M82</f>
        <v>0</v>
      </c>
      <c r="O82" s="266" t="str">
        <f>IF(ISERROR(N82/L82),"-",N82/L82)</f>
        <v>-</v>
      </c>
      <c r="P82" s="230"/>
      <c r="Q82" s="426"/>
      <c r="R82" s="427"/>
      <c r="S82" s="427">
        <f>Q82-R82</f>
        <v>0</v>
      </c>
      <c r="T82" s="1222" t="str">
        <f>IF(ISERROR(S82/Q82),"-",S82/Q82)</f>
        <v>-</v>
      </c>
      <c r="U82" s="785"/>
      <c r="V82" s="567">
        <f>B82+G82+L82+Q82</f>
        <v>0</v>
      </c>
      <c r="W82" s="415">
        <f>C82+H82+M82+R82</f>
        <v>0</v>
      </c>
      <c r="X82" s="415">
        <f>V82-W82</f>
        <v>0</v>
      </c>
      <c r="Y82" s="778" t="str">
        <f>IF(ISERROR(X82/V82),"-",X82/V82)</f>
        <v>-</v>
      </c>
      <c r="Z82" s="785"/>
      <c r="AA82" s="567">
        <f>G82+L82+Q82+V82</f>
        <v>0</v>
      </c>
      <c r="AB82" s="415">
        <f>AA82-W82</f>
        <v>0</v>
      </c>
      <c r="AC82" s="778" t="str">
        <f>IF(ISERROR(AB82/AA82),"-",AB82/AA82)</f>
        <v>-</v>
      </c>
      <c r="AD82" s="955"/>
      <c r="AE82" s="1591"/>
    </row>
    <row r="83" spans="1:31" ht="19.5" thickBot="1" x14ac:dyDescent="0.35">
      <c r="A83" s="1473" t="s">
        <v>105</v>
      </c>
      <c r="B83" s="1295">
        <f>B81-B82</f>
        <v>3468493.25</v>
      </c>
      <c r="C83" s="1295">
        <f>C81-C82</f>
        <v>3977808.4699999988</v>
      </c>
      <c r="D83" s="1343">
        <f>C83-B83</f>
        <v>509315.21999999881</v>
      </c>
      <c r="E83" s="750">
        <f>IF(ISERROR(D83/B83),"-",D83/B83)</f>
        <v>0.14684048181440135</v>
      </c>
      <c r="F83" s="1243"/>
      <c r="G83" s="454">
        <f>G81-G82</f>
        <v>3468493.25</v>
      </c>
      <c r="H83" s="454">
        <f>H81-H82</f>
        <v>5016693.299999997</v>
      </c>
      <c r="I83" s="455">
        <f>H83-G83</f>
        <v>1548200.049999997</v>
      </c>
      <c r="J83" s="271">
        <f>IF(ISERROR(I83/G83),"-",I83/G83)</f>
        <v>0.4463609810974829</v>
      </c>
      <c r="K83" s="1243"/>
      <c r="L83" s="454">
        <f>L81-L82</f>
        <v>3468493.25</v>
      </c>
      <c r="M83" s="454">
        <f>M81-M82</f>
        <v>10727397.090000002</v>
      </c>
      <c r="N83" s="455">
        <f>M83-L83</f>
        <v>7258903.8400000017</v>
      </c>
      <c r="O83" s="271">
        <f>IF(ISERROR(N83/L83),"-",N83/L83)</f>
        <v>2.0928118686694868</v>
      </c>
      <c r="P83" s="1243"/>
      <c r="Q83" s="454">
        <f>Q81-Q82</f>
        <v>0</v>
      </c>
      <c r="R83" s="454">
        <f>R81-R82</f>
        <v>0</v>
      </c>
      <c r="S83" s="455">
        <f>R83-Q83</f>
        <v>0</v>
      </c>
      <c r="T83" s="1223" t="str">
        <f>IF(ISERROR(S83/Q83),"-",S83/Q83)</f>
        <v>-</v>
      </c>
      <c r="U83" s="799"/>
      <c r="V83" s="1414">
        <f>V81-V82</f>
        <v>10405479.75</v>
      </c>
      <c r="W83" s="1351">
        <f>W81-W82</f>
        <v>19721898.859999992</v>
      </c>
      <c r="X83" s="793">
        <f>W83-V83</f>
        <v>9316419.109999992</v>
      </c>
      <c r="Y83" s="779">
        <f>IF(ISERROR(X83/V83),"-",X83/V83)</f>
        <v>0.89533777719378982</v>
      </c>
      <c r="Z83" s="799"/>
      <c r="AA83" s="1414">
        <f>AA81-AA82</f>
        <v>15826013</v>
      </c>
      <c r="AB83" s="1351">
        <f>AB81-AB82</f>
        <v>-3675884.8600000031</v>
      </c>
      <c r="AC83" s="1660">
        <f>IF(ISERROR(AB83/AA83),"-",AB83/AA83)</f>
        <v>-0.23226853535378766</v>
      </c>
      <c r="AD83" s="707"/>
      <c r="AE83" s="1606"/>
    </row>
  </sheetData>
  <sheetProtection algorithmName="SHA-512" hashValue="PdqrdDBHNZOn2z349csj143tAgJ9WPufnufLDBoUzMSeWm2+vndFPMe+OPsCeKLJd39Z6kpwTl5HeQIOAj29vg==" saltValue="wuqQvyJRJtYEPHVBLU6rQw==" spinCount="100000" sheet="1" objects="1" scenarios="1"/>
  <mergeCells count="13"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conditionalFormatting sqref="E56">
    <cfRule type="cellIs" dxfId="0" priority="1" stopIfTrue="1" operator="equal">
      <formula>""""""</formula>
    </cfRule>
  </conditionalFormatting>
  <pageMargins left="0.7" right="0.7" top="0.75" bottom="0.75" header="0.3" footer="0.3"/>
  <pageSetup paperSize="17" scale="4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V39"/>
  <sheetViews>
    <sheetView zoomScale="70" zoomScaleNormal="70" workbookViewId="0">
      <pane xSplit="1" topLeftCell="B1" activePane="topRight" state="frozen"/>
      <selection activeCell="A19" sqref="A19"/>
      <selection pane="topRight" activeCell="F13" sqref="F13"/>
    </sheetView>
  </sheetViews>
  <sheetFormatPr defaultRowHeight="27.75" customHeight="1" x14ac:dyDescent="0.25"/>
  <cols>
    <col min="1" max="1" width="47.42578125" customWidth="1"/>
    <col min="2" max="2" width="17" style="29" customWidth="1"/>
    <col min="3" max="3" width="15" style="673" customWidth="1"/>
    <col min="4" max="6" width="14.42578125" style="673" customWidth="1"/>
    <col min="7" max="7" width="14.42578125" style="29" customWidth="1"/>
    <col min="8" max="9" width="14.42578125" style="673" customWidth="1"/>
    <col min="10" max="10" width="14.42578125" style="29" customWidth="1"/>
    <col min="11" max="11" width="14.42578125" style="1690" customWidth="1"/>
    <col min="12" max="12" width="14.42578125" style="673" customWidth="1"/>
    <col min="13" max="13" width="14.42578125" customWidth="1"/>
    <col min="18" max="18" width="29.7109375" customWidth="1"/>
  </cols>
  <sheetData>
    <row r="1" spans="1:22" ht="21" customHeight="1" x14ac:dyDescent="0.25">
      <c r="A1" s="1760" t="s">
        <v>49</v>
      </c>
      <c r="B1" s="1761"/>
      <c r="C1" s="1762"/>
      <c r="D1" s="672"/>
      <c r="J1" s="28"/>
    </row>
    <row r="2" spans="1:22" ht="18" customHeight="1" x14ac:dyDescent="0.25">
      <c r="A2" s="1"/>
      <c r="B2" s="30"/>
      <c r="C2" s="674"/>
      <c r="D2" s="674"/>
      <c r="J2" s="28"/>
    </row>
    <row r="3" spans="1:22" ht="18" customHeight="1" x14ac:dyDescent="0.3">
      <c r="A3" s="1757" t="s">
        <v>133</v>
      </c>
      <c r="B3" s="1758"/>
      <c r="C3" s="1758"/>
      <c r="D3" s="675"/>
      <c r="E3" s="676"/>
      <c r="F3" s="676"/>
      <c r="G3" s="31"/>
      <c r="H3" s="676"/>
      <c r="I3" s="676"/>
      <c r="J3" s="32"/>
      <c r="L3" s="676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8" customHeight="1" x14ac:dyDescent="0.3">
      <c r="A4" s="1763" t="s">
        <v>0</v>
      </c>
      <c r="B4" s="1764"/>
      <c r="C4" s="1764"/>
      <c r="D4" s="677"/>
      <c r="J4" s="28"/>
    </row>
    <row r="5" spans="1:22" ht="18" customHeight="1" x14ac:dyDescent="0.3">
      <c r="A5" s="1763" t="s">
        <v>1</v>
      </c>
      <c r="B5" s="1764"/>
      <c r="C5" s="1765"/>
      <c r="D5" s="677"/>
      <c r="J5" s="28"/>
    </row>
    <row r="6" spans="1:22" ht="18" customHeight="1" x14ac:dyDescent="0.3">
      <c r="A6" s="1757" t="s">
        <v>191</v>
      </c>
      <c r="B6" s="1758"/>
      <c r="C6" s="1766"/>
      <c r="D6" s="675"/>
      <c r="E6" s="1759"/>
      <c r="F6" s="1759"/>
      <c r="G6" s="1759"/>
      <c r="H6" s="1759"/>
      <c r="I6" s="1759"/>
      <c r="J6" s="1759"/>
      <c r="K6" s="1759"/>
      <c r="L6" s="1759"/>
      <c r="M6" s="1759"/>
      <c r="N6" s="1759"/>
      <c r="O6" s="1759"/>
      <c r="P6" s="1759"/>
      <c r="Q6" s="1759"/>
      <c r="R6" s="1759"/>
      <c r="S6" s="1759"/>
      <c r="T6" s="1759"/>
      <c r="U6" s="1759"/>
      <c r="V6" s="1759"/>
    </row>
    <row r="7" spans="1:22" ht="18" customHeight="1" thickBot="1" x14ac:dyDescent="0.35">
      <c r="A7" s="1757" t="s">
        <v>2</v>
      </c>
      <c r="B7" s="1758"/>
      <c r="C7" s="1758"/>
      <c r="D7" s="675"/>
      <c r="J7" s="28"/>
    </row>
    <row r="8" spans="1:22" ht="27.75" customHeight="1" thickBot="1" x14ac:dyDescent="0.3">
      <c r="A8" s="1143"/>
      <c r="B8" s="549" t="s">
        <v>136</v>
      </c>
      <c r="C8" s="678" t="s">
        <v>141</v>
      </c>
      <c r="D8" s="1142" t="s">
        <v>138</v>
      </c>
      <c r="E8" s="1146" t="s">
        <v>137</v>
      </c>
      <c r="F8" s="1146" t="s">
        <v>158</v>
      </c>
      <c r="G8" s="1148" t="s">
        <v>135</v>
      </c>
      <c r="H8" s="1146" t="s">
        <v>139</v>
      </c>
      <c r="I8" s="1146" t="s">
        <v>134</v>
      </c>
      <c r="J8" s="1148" t="s">
        <v>157</v>
      </c>
      <c r="K8" s="1691" t="s">
        <v>50</v>
      </c>
      <c r="L8" s="1156" t="s">
        <v>140</v>
      </c>
    </row>
    <row r="9" spans="1:22" ht="17.25" customHeight="1" x14ac:dyDescent="0.25">
      <c r="A9" s="1144"/>
      <c r="B9" s="1116"/>
      <c r="C9" s="679" t="s">
        <v>3</v>
      </c>
      <c r="D9" s="679" t="s">
        <v>3</v>
      </c>
      <c r="E9" s="679" t="s">
        <v>3</v>
      </c>
      <c r="F9" s="679" t="s">
        <v>3</v>
      </c>
      <c r="G9" s="679" t="s">
        <v>3</v>
      </c>
      <c r="H9" s="679" t="s">
        <v>3</v>
      </c>
      <c r="I9" s="679" t="s">
        <v>3</v>
      </c>
      <c r="J9" s="679" t="s">
        <v>3</v>
      </c>
      <c r="K9" s="1692" t="s">
        <v>3</v>
      </c>
      <c r="L9" s="1669" t="s">
        <v>3</v>
      </c>
    </row>
    <row r="10" spans="1:22" ht="17.25" customHeight="1" x14ac:dyDescent="0.25">
      <c r="A10" s="1145"/>
      <c r="B10" s="1117"/>
      <c r="C10" s="457">
        <v>46022</v>
      </c>
      <c r="D10" s="457">
        <v>46022</v>
      </c>
      <c r="E10" s="457">
        <v>46022</v>
      </c>
      <c r="F10" s="457">
        <v>46022</v>
      </c>
      <c r="G10" s="457">
        <v>46022</v>
      </c>
      <c r="H10" s="457">
        <v>46022</v>
      </c>
      <c r="I10" s="457">
        <v>46022</v>
      </c>
      <c r="J10" s="457">
        <v>46022</v>
      </c>
      <c r="K10" s="1693">
        <v>46022</v>
      </c>
      <c r="L10" s="1670">
        <v>46022</v>
      </c>
    </row>
    <row r="11" spans="1:22" ht="17.25" customHeight="1" thickBot="1" x14ac:dyDescent="0.3">
      <c r="A11" s="1145"/>
      <c r="B11" s="1117"/>
      <c r="C11" s="680" t="s">
        <v>107</v>
      </c>
      <c r="D11" s="1118" t="s">
        <v>107</v>
      </c>
      <c r="E11" s="1118" t="s">
        <v>107</v>
      </c>
      <c r="F11" s="1118" t="s">
        <v>107</v>
      </c>
      <c r="G11" s="1149" t="s">
        <v>107</v>
      </c>
      <c r="H11" s="1118" t="s">
        <v>107</v>
      </c>
      <c r="I11" s="1118" t="s">
        <v>107</v>
      </c>
      <c r="J11" s="1149" t="s">
        <v>107</v>
      </c>
      <c r="K11" s="1694" t="s">
        <v>107</v>
      </c>
      <c r="L11" s="684" t="s">
        <v>107</v>
      </c>
    </row>
    <row r="12" spans="1:22" ht="27.75" customHeight="1" x14ac:dyDescent="0.3">
      <c r="A12" s="543" t="s">
        <v>142</v>
      </c>
      <c r="B12" s="540"/>
      <c r="C12" s="1129"/>
      <c r="D12" s="1119"/>
      <c r="E12" s="1119"/>
      <c r="F12" s="1119"/>
      <c r="G12" s="1150"/>
      <c r="H12" s="1119"/>
      <c r="I12" s="1119"/>
      <c r="J12" s="1150"/>
      <c r="K12" s="1695"/>
      <c r="L12" s="685"/>
    </row>
    <row r="13" spans="1:22" ht="27.75" customHeight="1" x14ac:dyDescent="0.3">
      <c r="A13" s="542" t="s">
        <v>143</v>
      </c>
      <c r="B13" s="539">
        <f>C13+D13+E13+F13+G13+H13+I13+J13+K13+L13</f>
        <v>61421079.791680001</v>
      </c>
      <c r="C13" s="835">
        <f>'ADB Fin. Postition '!F57+'ADB Fin. Postition '!F63</f>
        <v>848673</v>
      </c>
      <c r="D13" s="830">
        <f>'ATB Fin. Position'!F57+'ATB Fin. Position'!F63</f>
        <v>485633.16</v>
      </c>
      <c r="E13" s="830">
        <f>'AASPA Fin. Position'!F57+'AASPA Fin. Position'!F63</f>
        <v>33721252.869999997</v>
      </c>
      <c r="F13" s="830">
        <f>'ACC Fin. Position'!F57+'ACC Fin. Position'!F63</f>
        <v>5078028.7</v>
      </c>
      <c r="G13" s="830">
        <f>'ANT Fin. Position'!F57+'ANT Fin. Position'!F63</f>
        <v>0</v>
      </c>
      <c r="H13" s="830">
        <f>'PSPF Fin. Position'!F57+'PSPF Fin. Position'!F63</f>
        <v>527136.5</v>
      </c>
      <c r="I13" s="830">
        <f>'AFSC Fin. Position'!F57+'AFSC Fin. Position'!F63</f>
        <v>20448337.391680002</v>
      </c>
      <c r="J13" s="830">
        <f>'PUC Fin. Position'!F57+'PUC Fin. Position'!F63</f>
        <v>312018.17</v>
      </c>
      <c r="K13" s="662">
        <f>'ASSB Fin. Position'!F57+'ASSB Fin. Position'!F63</f>
        <v>0</v>
      </c>
      <c r="L13" s="686"/>
    </row>
    <row r="14" spans="1:22" ht="27.75" customHeight="1" thickBot="1" x14ac:dyDescent="0.35">
      <c r="A14" s="703" t="s">
        <v>144</v>
      </c>
      <c r="B14" s="550">
        <f>C14+D14+E14+F14+G14+H14+I14+J14+K14+L14</f>
        <v>315337310.2033391</v>
      </c>
      <c r="C14" s="1130">
        <f>'ADB Fin. Postition '!F43</f>
        <v>20641499</v>
      </c>
      <c r="D14" s="838">
        <f>'ATB Fin. Position'!F43</f>
        <v>5195918.79</v>
      </c>
      <c r="E14" s="838">
        <f>'AASPA Fin. Position'!F43</f>
        <v>208558005.54419708</v>
      </c>
      <c r="F14" s="838">
        <f>'ACC Fin. Position'!F43</f>
        <v>12367814.970000001</v>
      </c>
      <c r="G14" s="838">
        <f>'ANT Fin. Position'!F43</f>
        <v>7753389.0999999996</v>
      </c>
      <c r="H14" s="838">
        <f>'PSPF Fin. Position'!F43</f>
        <v>32468768.829999998</v>
      </c>
      <c r="I14" s="838">
        <f>'AFSC Fin. Position'!F43</f>
        <v>27106919.839141995</v>
      </c>
      <c r="J14" s="838">
        <f>'PUC Fin. Position'!F43</f>
        <v>1244994.1299999999</v>
      </c>
      <c r="K14" s="970">
        <f>'ASSB Fin. Position'!F43</f>
        <v>0</v>
      </c>
      <c r="L14" s="687"/>
    </row>
    <row r="15" spans="1:22" ht="27.75" customHeight="1" thickBot="1" x14ac:dyDescent="0.35">
      <c r="A15" s="546" t="s">
        <v>142</v>
      </c>
      <c r="B15" s="544">
        <f>B13/B14</f>
        <v>0.1947789804894125</v>
      </c>
      <c r="C15" s="1131">
        <f t="shared" ref="C15:K15" si="0">C13/C14</f>
        <v>4.1114891898112634E-2</v>
      </c>
      <c r="D15" s="1120">
        <f t="shared" si="0"/>
        <v>9.3464347621183663E-2</v>
      </c>
      <c r="E15" s="1120">
        <f t="shared" si="0"/>
        <v>0.16168764551622006</v>
      </c>
      <c r="F15" s="1120">
        <f t="shared" si="0"/>
        <v>0.41058414217204287</v>
      </c>
      <c r="G15" s="1120">
        <f t="shared" si="0"/>
        <v>0</v>
      </c>
      <c r="H15" s="1120">
        <f t="shared" si="0"/>
        <v>1.6235185964702931E-2</v>
      </c>
      <c r="I15" s="1120">
        <f t="shared" si="0"/>
        <v>0.75435857386322824</v>
      </c>
      <c r="J15" s="1120">
        <f t="shared" si="0"/>
        <v>0.25061818564558214</v>
      </c>
      <c r="K15" s="1696" t="e">
        <f t="shared" si="0"/>
        <v>#DIV/0!</v>
      </c>
      <c r="L15" s="545"/>
    </row>
    <row r="16" spans="1:22" ht="27.75" customHeight="1" x14ac:dyDescent="0.3">
      <c r="A16" s="543" t="s">
        <v>147</v>
      </c>
      <c r="B16" s="541"/>
      <c r="C16" s="1132"/>
      <c r="D16" s="1121"/>
      <c r="E16" s="1121"/>
      <c r="F16" s="1121"/>
      <c r="G16" s="1151"/>
      <c r="H16" s="1121"/>
      <c r="I16" s="1121"/>
      <c r="J16" s="1151"/>
      <c r="K16" s="1695"/>
      <c r="L16" s="688"/>
    </row>
    <row r="17" spans="1:18" ht="27.75" customHeight="1" x14ac:dyDescent="0.3">
      <c r="A17" s="542" t="s">
        <v>145</v>
      </c>
      <c r="B17" s="295">
        <f>C17+D17+E17+F17+G17+H17+I17+J17+K17+L17</f>
        <v>271788980.07313436</v>
      </c>
      <c r="C17" s="340">
        <f>'ADB Fin. Postition '!F20+'ADB Fin. Postition '!F30</f>
        <v>20047603</v>
      </c>
      <c r="D17" s="341">
        <f>'ATB Fin. Position'!F20+'ATB Fin. Position'!F30</f>
        <v>4478022.45</v>
      </c>
      <c r="E17" s="341">
        <f>'AASPA Fin. Position'!F20+'AASPA Fin. Position'!F30</f>
        <v>182295297.1272904</v>
      </c>
      <c r="F17" s="341">
        <f>'ACC Fin. Position'!F20+'ACC Fin. Position'!F30</f>
        <v>4425766.12</v>
      </c>
      <c r="G17" s="341">
        <f>'ANT Fin. Position'!F20+'ANT Fin. Position'!F30</f>
        <v>2899701.1</v>
      </c>
      <c r="H17" s="341">
        <f>'PSPF Fin. Position'!F20+'PSPF Fin. Position'!F30</f>
        <v>32389160.829999998</v>
      </c>
      <c r="I17" s="341">
        <f>'AFSC Fin. Position'!F20+'AFSC Fin. Position'!F30</f>
        <v>24291581.715843994</v>
      </c>
      <c r="J17" s="341">
        <f>'PUC Fin. Position'!F20+'PUC Fin. Position'!F30</f>
        <v>961847.73</v>
      </c>
      <c r="K17" s="662">
        <f>'ASSB Fin. Position'!F20+'ASSB Fin. Position'!F30</f>
        <v>0</v>
      </c>
      <c r="L17" s="342"/>
    </row>
    <row r="18" spans="1:18" ht="27.75" customHeight="1" thickBot="1" x14ac:dyDescent="0.35">
      <c r="A18" s="704" t="s">
        <v>143</v>
      </c>
      <c r="B18" s="694">
        <f>C18+D18+E18+F18+G18+H18+I18+J18+K18+L18</f>
        <v>61421079.791680001</v>
      </c>
      <c r="C18" s="1130">
        <f>'ADB Fin. Postition '!F57+'ADB Fin. Postition '!F63</f>
        <v>848673</v>
      </c>
      <c r="D18" s="838">
        <f>'ATB Fin. Position'!F57+'ATB Fin. Position'!F63</f>
        <v>485633.16</v>
      </c>
      <c r="E18" s="830">
        <f>'AASPA Fin. Position'!F57+'AASPA Fin. Position'!F63</f>
        <v>33721252.869999997</v>
      </c>
      <c r="F18" s="838">
        <f>'ACC Fin. Position'!F57+'ACC Fin. Position'!F63</f>
        <v>5078028.7</v>
      </c>
      <c r="G18" s="838">
        <f>'ANT Fin. Position'!F57+'ANT Fin. Position'!F63</f>
        <v>0</v>
      </c>
      <c r="H18" s="838">
        <f>'PSPF Fin. Position'!F57+'PSPF Fin. Position'!F63</f>
        <v>527136.5</v>
      </c>
      <c r="I18" s="838">
        <f>'AFSC Fin. Position'!F57+'AFSC Fin. Position'!F63</f>
        <v>20448337.391680002</v>
      </c>
      <c r="J18" s="838">
        <f>'PUC Fin. Position'!F57+'PUC Fin. Position'!F63</f>
        <v>312018.17</v>
      </c>
      <c r="K18" s="970">
        <f>'ASSB Fin. Position'!F57+'ASSB Fin. Position'!F63</f>
        <v>0</v>
      </c>
      <c r="L18" s="687"/>
    </row>
    <row r="19" spans="1:18" ht="27.75" customHeight="1" thickBot="1" x14ac:dyDescent="0.35">
      <c r="A19" s="546" t="s">
        <v>147</v>
      </c>
      <c r="B19" s="682">
        <f t="shared" ref="B19:K19" si="1">B17/B18</f>
        <v>4.4250114292186451</v>
      </c>
      <c r="C19" s="1133">
        <f t="shared" si="1"/>
        <v>23.622293863478632</v>
      </c>
      <c r="D19" s="1122">
        <f t="shared" si="1"/>
        <v>9.2209981089429736</v>
      </c>
      <c r="E19" s="1122">
        <f t="shared" si="1"/>
        <v>5.4059467431433665</v>
      </c>
      <c r="F19" s="1122">
        <f t="shared" si="1"/>
        <v>0.87155200993645432</v>
      </c>
      <c r="G19" s="1122">
        <v>0</v>
      </c>
      <c r="H19" s="1122">
        <f t="shared" si="1"/>
        <v>61.443593509461017</v>
      </c>
      <c r="I19" s="1122">
        <f t="shared" si="1"/>
        <v>1.1879489882501513</v>
      </c>
      <c r="J19" s="1122">
        <f t="shared" si="1"/>
        <v>3.0826657627022169</v>
      </c>
      <c r="K19" s="1697" t="e">
        <f t="shared" si="1"/>
        <v>#DIV/0!</v>
      </c>
      <c r="L19" s="683"/>
    </row>
    <row r="20" spans="1:18" ht="27.75" customHeight="1" x14ac:dyDescent="0.3">
      <c r="A20" s="543" t="s">
        <v>146</v>
      </c>
      <c r="B20" s="541"/>
      <c r="C20" s="1132"/>
      <c r="D20" s="1121"/>
      <c r="E20" s="1121"/>
      <c r="F20" s="1121"/>
      <c r="G20" s="1151"/>
      <c r="H20" s="1121"/>
      <c r="I20" s="1121"/>
      <c r="J20" s="1151"/>
      <c r="K20" s="1695"/>
      <c r="L20" s="688"/>
    </row>
    <row r="21" spans="1:18" ht="27.75" customHeight="1" x14ac:dyDescent="0.3">
      <c r="A21" s="542" t="s">
        <v>5</v>
      </c>
      <c r="B21" s="295">
        <f>C21+D21+E21+F21+I21+G21+H21+J21+K21+L21</f>
        <v>67473549.017628789</v>
      </c>
      <c r="C21" s="340">
        <f>'ADB Fin. Postition '!F20</f>
        <v>9926750</v>
      </c>
      <c r="D21" s="341">
        <f>'ATB Fin. Position'!F20</f>
        <v>4478022.45</v>
      </c>
      <c r="E21" s="341">
        <f>'AASPA Fin. Position'!F20</f>
        <v>14022848.371784799</v>
      </c>
      <c r="F21" s="341">
        <f>'ACC Fin. Position'!F20</f>
        <v>4065197.42</v>
      </c>
      <c r="G21" s="341">
        <f>'ANT Fin. Position'!F20</f>
        <v>2663640.85</v>
      </c>
      <c r="H21" s="341">
        <f>'PSPF Fin. Position'!F20</f>
        <v>7311316.9100000001</v>
      </c>
      <c r="I21" s="341">
        <f>'AFSC Fin. Position'!F20</f>
        <v>24291581.715843994</v>
      </c>
      <c r="J21" s="341">
        <f>'PUC Fin. Position'!F20</f>
        <v>714191.3</v>
      </c>
      <c r="K21" s="662">
        <f>'ASSB Fin. Position'!F20</f>
        <v>0</v>
      </c>
      <c r="L21" s="342"/>
    </row>
    <row r="22" spans="1:18" ht="27.75" customHeight="1" thickBot="1" x14ac:dyDescent="0.35">
      <c r="A22" s="704" t="s">
        <v>31</v>
      </c>
      <c r="B22" s="694">
        <f>C22+D22+E22+F22+I22+G22+H22+J22+K22+L22</f>
        <v>25014291.092195999</v>
      </c>
      <c r="C22" s="1134">
        <f>'ADB Fin. Postition '!F57</f>
        <v>280313</v>
      </c>
      <c r="D22" s="1123">
        <f>'ATB Fin. Position'!F57</f>
        <v>485633.16</v>
      </c>
      <c r="E22" s="1123">
        <f>'AASPA Fin. Position'!F57</f>
        <v>4064244.76</v>
      </c>
      <c r="F22" s="1123">
        <f>'ACC Fin. Position'!F57</f>
        <v>356629.28</v>
      </c>
      <c r="G22" s="1123">
        <f>'ANT Fin. Position'!F57</f>
        <v>0</v>
      </c>
      <c r="H22" s="1123">
        <f>'PSPF Fin. Position'!F57</f>
        <v>503610.2</v>
      </c>
      <c r="I22" s="1123">
        <f>'AFSC Fin. Position'!F57</f>
        <v>19212290.612196002</v>
      </c>
      <c r="J22" s="1123">
        <f>'PUC Fin. Position'!F57</f>
        <v>111570.08</v>
      </c>
      <c r="K22" s="970">
        <f>'ASSB Fin. Position'!F57</f>
        <v>0</v>
      </c>
      <c r="L22" s="695"/>
    </row>
    <row r="23" spans="1:18" ht="27.75" customHeight="1" thickBot="1" x14ac:dyDescent="0.35">
      <c r="A23" s="546" t="s">
        <v>146</v>
      </c>
      <c r="B23" s="682">
        <f>B21/B22</f>
        <v>2.6974000090164179</v>
      </c>
      <c r="C23" s="1133">
        <f t="shared" ref="C23:K23" si="2">C21/C22</f>
        <v>35.4130917938162</v>
      </c>
      <c r="D23" s="1122">
        <f t="shared" si="2"/>
        <v>9.2209981089429736</v>
      </c>
      <c r="E23" s="1122">
        <f t="shared" si="2"/>
        <v>3.4502962296455788</v>
      </c>
      <c r="F23" s="1122">
        <f t="shared" si="2"/>
        <v>11.39894464077655</v>
      </c>
      <c r="G23" s="1122">
        <v>0</v>
      </c>
      <c r="H23" s="1122">
        <f t="shared" si="2"/>
        <v>14.517809428800291</v>
      </c>
      <c r="I23" s="1122">
        <f t="shared" si="2"/>
        <v>1.2643771742877785</v>
      </c>
      <c r="J23" s="1122">
        <f t="shared" si="2"/>
        <v>6.4012798054819005</v>
      </c>
      <c r="K23" s="1697" t="e">
        <f t="shared" si="2"/>
        <v>#DIV/0!</v>
      </c>
      <c r="L23" s="683"/>
    </row>
    <row r="24" spans="1:18" ht="27.75" customHeight="1" x14ac:dyDescent="0.3">
      <c r="A24" s="705" t="s">
        <v>150</v>
      </c>
      <c r="B24" s="696"/>
      <c r="C24" s="1135"/>
      <c r="D24" s="1124"/>
      <c r="E24" s="1124"/>
      <c r="F24" s="1124"/>
      <c r="G24" s="1152"/>
      <c r="H24" s="1124"/>
      <c r="I24" s="1124"/>
      <c r="J24" s="1152"/>
      <c r="K24" s="1698"/>
      <c r="L24" s="697"/>
    </row>
    <row r="25" spans="1:18" ht="27.75" customHeight="1" x14ac:dyDescent="0.3">
      <c r="A25" s="542" t="s">
        <v>5</v>
      </c>
      <c r="B25" s="295">
        <f>C25+D25+E25+F25+G25+I25+H25+J25+K25+L25</f>
        <v>67473549.017628789</v>
      </c>
      <c r="C25" s="340">
        <f>'ADB Fin. Postition '!F20</f>
        <v>9926750</v>
      </c>
      <c r="D25" s="341">
        <f>'ATB Fin. Position'!F20</f>
        <v>4478022.45</v>
      </c>
      <c r="E25" s="341">
        <f>'AASPA Fin. Position'!F20</f>
        <v>14022848.371784799</v>
      </c>
      <c r="F25" s="341">
        <f>'ACC Fin. Position'!F20</f>
        <v>4065197.42</v>
      </c>
      <c r="G25" s="341">
        <f>'ANT Fin. Position'!F20</f>
        <v>2663640.85</v>
      </c>
      <c r="H25" s="341">
        <f>'PSPF Fin. Position'!F20</f>
        <v>7311316.9100000001</v>
      </c>
      <c r="I25" s="341">
        <f>'AFSC Fin. Position'!F20</f>
        <v>24291581.715843994</v>
      </c>
      <c r="J25" s="341">
        <f>'PUC Fin. Position'!F20</f>
        <v>714191.3</v>
      </c>
      <c r="K25" s="662">
        <f>'ASSB Fin. Position'!F20</f>
        <v>0</v>
      </c>
      <c r="L25" s="342"/>
    </row>
    <row r="26" spans="1:18" ht="27.75" customHeight="1" x14ac:dyDescent="0.3">
      <c r="A26" s="542" t="s">
        <v>148</v>
      </c>
      <c r="B26" s="295">
        <f>C26+D26+E26+F26+G26+I26+H26+J26+K26+L26</f>
        <v>11426</v>
      </c>
      <c r="C26" s="340">
        <f>'ADB Fin. Postition '!F19</f>
        <v>0</v>
      </c>
      <c r="D26" s="341">
        <f>'ATB Fin. Position'!F19</f>
        <v>0</v>
      </c>
      <c r="E26" s="341">
        <f>'AASPA Fin. Position'!F19</f>
        <v>11425</v>
      </c>
      <c r="F26" s="341">
        <f>'ACC Fin. Position'!F19</f>
        <v>1</v>
      </c>
      <c r="G26" s="341">
        <f>'ANT Fin. Position'!F19</f>
        <v>0</v>
      </c>
      <c r="H26" s="341">
        <f>'PSPF Fin. Position'!F19</f>
        <v>0</v>
      </c>
      <c r="I26" s="341">
        <f>'AFSC Fin. Position'!F19</f>
        <v>0</v>
      </c>
      <c r="J26" s="341">
        <f>'PUC Fin. Position'!F19</f>
        <v>0</v>
      </c>
      <c r="K26" s="662">
        <f>'ASSB Fin. Position'!F19</f>
        <v>0</v>
      </c>
      <c r="L26" s="342"/>
    </row>
    <row r="27" spans="1:18" ht="27.75" customHeight="1" thickBot="1" x14ac:dyDescent="0.35">
      <c r="A27" s="704" t="s">
        <v>31</v>
      </c>
      <c r="B27" s="694">
        <f>C27+D27+E27+F27+G27+I27+H27+J27+K27+L27</f>
        <v>25014291.092195999</v>
      </c>
      <c r="C27" s="1134">
        <f>'ADB Fin. Postition '!F57</f>
        <v>280313</v>
      </c>
      <c r="D27" s="1123">
        <f>'ATB Fin. Position'!F57</f>
        <v>485633.16</v>
      </c>
      <c r="E27" s="1123">
        <f>'AASPA Fin. Position'!F57</f>
        <v>4064244.76</v>
      </c>
      <c r="F27" s="1123">
        <f>'ACC Fin. Position'!F57</f>
        <v>356629.28</v>
      </c>
      <c r="G27" s="1123">
        <f>'ANT Fin. Position'!F57</f>
        <v>0</v>
      </c>
      <c r="H27" s="1123">
        <f>'PSPF Fin. Position'!F57</f>
        <v>503610.2</v>
      </c>
      <c r="I27" s="1123">
        <f>'AFSC Fin. Position'!F57</f>
        <v>19212290.612196002</v>
      </c>
      <c r="J27" s="1123">
        <f>'PUC Fin. Position'!F57</f>
        <v>111570.08</v>
      </c>
      <c r="K27" s="970">
        <f>'ASSB Fin. Position'!F57</f>
        <v>0</v>
      </c>
      <c r="L27" s="695"/>
    </row>
    <row r="28" spans="1:18" ht="27.75" customHeight="1" thickBot="1" x14ac:dyDescent="0.35">
      <c r="A28" s="546" t="s">
        <v>149</v>
      </c>
      <c r="B28" s="682">
        <f>(B25-B26)/B27</f>
        <v>2.6969432301311844</v>
      </c>
      <c r="C28" s="1133">
        <f>(C25-C26)/C27</f>
        <v>35.4130917938162</v>
      </c>
      <c r="D28" s="1122">
        <f t="shared" ref="D28:K28" si="3">(D25-D26)/D27</f>
        <v>9.2209981089429736</v>
      </c>
      <c r="E28" s="1122">
        <f t="shared" si="3"/>
        <v>3.4474851292629332</v>
      </c>
      <c r="F28" s="1122">
        <f t="shared" si="3"/>
        <v>11.398941836744306</v>
      </c>
      <c r="G28" s="1122">
        <v>0</v>
      </c>
      <c r="H28" s="1122">
        <f t="shared" si="3"/>
        <v>14.517809428800291</v>
      </c>
      <c r="I28" s="1122">
        <f t="shared" si="3"/>
        <v>1.2643771742877785</v>
      </c>
      <c r="J28" s="1122">
        <f t="shared" si="3"/>
        <v>6.4012798054819005</v>
      </c>
      <c r="K28" s="1697" t="e">
        <f t="shared" si="3"/>
        <v>#DIV/0!</v>
      </c>
      <c r="L28" s="683"/>
    </row>
    <row r="29" spans="1:18" ht="27.75" customHeight="1" x14ac:dyDescent="0.3">
      <c r="A29" s="705" t="s">
        <v>151</v>
      </c>
      <c r="B29" s="696"/>
      <c r="C29" s="1135"/>
      <c r="D29" s="1124"/>
      <c r="E29" s="1124"/>
      <c r="F29" s="1124"/>
      <c r="G29" s="1152"/>
      <c r="H29" s="1124"/>
      <c r="I29" s="1124"/>
      <c r="J29" s="1152"/>
      <c r="K29" s="1698"/>
      <c r="L29" s="697"/>
    </row>
    <row r="30" spans="1:18" ht="27.75" customHeight="1" x14ac:dyDescent="0.3">
      <c r="A30" s="542" t="s">
        <v>154</v>
      </c>
      <c r="B30" s="295">
        <f>C30+D30+E30+F30+G30+I30+H30+J30++K30+L30</f>
        <v>36726021.356353983</v>
      </c>
      <c r="C30" s="1136" t="str">
        <f>IF('ADB Inc. Statement'!W79&gt;0,'ADB Inc. Statement'!W79,"0.00")</f>
        <v>0.00</v>
      </c>
      <c r="D30" s="1125">
        <f>IF('ATB Inc. Statement'!W79&gt;0,'ATB Inc. Statement'!W79,"0.00")</f>
        <v>1822376.3699999973</v>
      </c>
      <c r="E30" s="1147">
        <f>IF('AASPA Inc. Statement'!W79&gt;0,'AASPA Inc. Statement'!W79,"0.00")</f>
        <v>8216483.1699999906</v>
      </c>
      <c r="F30" s="1147">
        <f>IF('ACC Inc Statement'!W79&gt;0,'ACC Inc Statement'!W78,"0.00")</f>
        <v>4246729.1199999992</v>
      </c>
      <c r="G30" s="1125">
        <f>IF('ANT Inc Statement'!W79&gt;0,'ANT Inc Statement'!W79,"0.00")</f>
        <v>1138678.92</v>
      </c>
      <c r="H30" s="1125">
        <f>IF('PSPF Inc. Statement'!W79&gt;0,'PSPF Inc. Statement'!W79,"0.00")</f>
        <v>803905.90000000037</v>
      </c>
      <c r="I30" s="1125">
        <f>IF('AFSC Inc. Statement'!W79&gt;0,'AFSC Inc. Statement'!W79,"0.00")</f>
        <v>665548.53635400068</v>
      </c>
      <c r="J30" s="1125">
        <f>IF('PUC Inc. Statement'!$W$79&gt;0,'PUC Inc. Statement'!$W$79,"0.00")</f>
        <v>110400.47999999998</v>
      </c>
      <c r="K30" s="1699">
        <f>IF('ASSB Inc. Statement'!W79&gt;0,'ASSB Inc. Statement'!W79,"0.00")</f>
        <v>19721898.859999992</v>
      </c>
      <c r="L30" s="690"/>
    </row>
    <row r="31" spans="1:18" ht="27.75" customHeight="1" thickBot="1" x14ac:dyDescent="0.35">
      <c r="A31" s="703" t="s">
        <v>155</v>
      </c>
      <c r="B31" s="694">
        <f>C31+D31+E31+F31+G31+H31+I31+J31+K31+L31</f>
        <v>-754304.83000000007</v>
      </c>
      <c r="C31" s="1137">
        <f>IF('ADB Inc. Statement'!W79&lt;0,'ADB Inc. Statement'!W79,"0")</f>
        <v>-754304.83000000007</v>
      </c>
      <c r="D31" s="1137">
        <v>0</v>
      </c>
      <c r="E31" s="1125" t="str">
        <f>IF('AASPA Inc. Statement'!W79&lt;0,'AASPA Inc. Statement'!W79,"0.00")</f>
        <v>0.00</v>
      </c>
      <c r="F31" s="1125" t="str">
        <f>IF('ACC Inc Statement'!W79&lt;0,'ACC Inc Statement'!W79,"0.00")</f>
        <v>0.00</v>
      </c>
      <c r="G31" s="1125" t="str">
        <f>IF('ANT Inc Statement'!W79&lt;0,'ANT Inc Statement'!W79,"0.00")</f>
        <v>0.00</v>
      </c>
      <c r="H31" s="1125" t="str">
        <f>IF('PSPF Inc. Statement'!W79&lt;0,'PSPF Inc. Statement'!W79,"0.00")</f>
        <v>0.00</v>
      </c>
      <c r="I31" s="1125" t="str">
        <f>IF('AFSC Inc. Statement'!W79&lt;0,'AFSC Inc. Statement'!W79,"0.00")</f>
        <v>0.00</v>
      </c>
      <c r="J31" s="1125" t="str">
        <f>IF('PUC Inc. Statement'!$W$79&lt;0,'PUC Inc. Statement'!$W$79,"0.00")</f>
        <v>0.00</v>
      </c>
      <c r="K31" s="1699" t="str">
        <f>IF('ASSB Inc. Statement'!W79&lt;0,'ASSB Inc. Statement'!W79,"0.00")</f>
        <v>0.00</v>
      </c>
      <c r="L31" s="698"/>
      <c r="R31" s="911"/>
    </row>
    <row r="32" spans="1:18" s="673" customFormat="1" ht="27.75" customHeight="1" thickBot="1" x14ac:dyDescent="0.35">
      <c r="A32" s="692" t="s">
        <v>151</v>
      </c>
      <c r="B32" s="681">
        <f>C32+D32+F32+E32+G32+I32+H32+J32+K32+L32</f>
        <v>35971716.526353978</v>
      </c>
      <c r="C32" s="1138">
        <f>SUM(C30:C31)</f>
        <v>-754304.83000000007</v>
      </c>
      <c r="D32" s="1126">
        <f t="shared" ref="D32:L32" si="4">SUM(D30:D31)</f>
        <v>1822376.3699999973</v>
      </c>
      <c r="E32" s="1126">
        <f t="shared" si="4"/>
        <v>8216483.1699999906</v>
      </c>
      <c r="F32" s="1126">
        <f t="shared" si="4"/>
        <v>4246729.1199999992</v>
      </c>
      <c r="G32" s="1126">
        <f>SUM(G30:G31)</f>
        <v>1138678.92</v>
      </c>
      <c r="H32" s="1126">
        <f t="shared" si="4"/>
        <v>803905.90000000037</v>
      </c>
      <c r="I32" s="1126">
        <f t="shared" si="4"/>
        <v>665548.53635400068</v>
      </c>
      <c r="J32" s="1126">
        <f>SUM(J30:J31)</f>
        <v>110400.47999999998</v>
      </c>
      <c r="K32" s="1700">
        <f t="shared" si="4"/>
        <v>19721898.859999992</v>
      </c>
      <c r="L32" s="689">
        <f t="shared" si="4"/>
        <v>0</v>
      </c>
    </row>
    <row r="33" spans="1:12" ht="27.75" customHeight="1" x14ac:dyDescent="0.3">
      <c r="A33" s="705" t="s">
        <v>152</v>
      </c>
      <c r="B33" s="696"/>
      <c r="C33" s="1135"/>
      <c r="D33" s="1124"/>
      <c r="E33" s="1124"/>
      <c r="F33" s="1124"/>
      <c r="G33" s="1152"/>
      <c r="H33" s="1124"/>
      <c r="I33" s="1124"/>
      <c r="J33" s="1152"/>
      <c r="K33" s="1698"/>
      <c r="L33" s="697"/>
    </row>
    <row r="34" spans="1:12" ht="27.75" customHeight="1" x14ac:dyDescent="0.3">
      <c r="A34" s="542" t="s">
        <v>153</v>
      </c>
      <c r="B34" s="295">
        <f>C34+D34+E34+G34+F34+H34+I34+J34+K34+L34</f>
        <v>76496700.674171999</v>
      </c>
      <c r="C34" s="340">
        <f>'Consolidated Fin Position Q4'!C57+'Consolidated Fin Position Q4'!C63</f>
        <v>795197</v>
      </c>
      <c r="D34" s="341">
        <f>'Consolidated Fin Position Q4'!D57+'Consolidated Fin Position Q4'!D63</f>
        <v>383639.42999999993</v>
      </c>
      <c r="E34" s="341">
        <f>'Consolidated Fin Position Q4'!E63+'Consolidated Fin Position Q4'!E57</f>
        <v>34100638.060000002</v>
      </c>
      <c r="F34" s="341">
        <f>'Consolidated Fin Position Q4'!F63+'Consolidated Fin Position Q4'!F57</f>
        <v>5165230.38</v>
      </c>
      <c r="G34" s="341">
        <f>'Consolidated Fin Position Q4'!G63+'Consolidated Fin Position Q4'!G57</f>
        <v>0</v>
      </c>
      <c r="H34" s="341">
        <f>'Consolidated Fin Position Q4'!H63+'Consolidated Fin Position Q4'!H57</f>
        <v>594185.46000000008</v>
      </c>
      <c r="I34" s="341">
        <f>'Consolidated Fin Position Q4'!I63+'Consolidated Fin Position Q4'!I57</f>
        <v>19474983.344171997</v>
      </c>
      <c r="J34" s="341">
        <f>'Consolidated Fin Position Q4'!J63+'Consolidated Fin Position Q4'!J57</f>
        <v>551323.16</v>
      </c>
      <c r="K34" s="662">
        <f>'Consolidated Fin Position Q4'!K63+'Consolidated Fin Position Q4'!K57</f>
        <v>15431503.84</v>
      </c>
      <c r="L34" s="342">
        <f>'Consolidated Fin Position Q4'!L63+'Consolidated Fin Position Q4'!L57</f>
        <v>0</v>
      </c>
    </row>
    <row r="35" spans="1:12" ht="27.75" customHeight="1" thickBot="1" x14ac:dyDescent="0.35">
      <c r="A35" s="703" t="s">
        <v>144</v>
      </c>
      <c r="B35" s="694">
        <f>C35+D35+E35+G35+F35+H35+I35+J35+K35+L35</f>
        <v>747311399.84265947</v>
      </c>
      <c r="C35" s="1134">
        <f>'Consolidated Fin Position Q4'!C43</f>
        <v>20964297</v>
      </c>
      <c r="D35" s="1123">
        <f>'Consolidated Fin Position Q4'!D43</f>
        <v>3142188.39</v>
      </c>
      <c r="E35" s="1123">
        <f>'Consolidated Fin Position Q4'!E43</f>
        <v>211369419.63827538</v>
      </c>
      <c r="F35" s="1123">
        <f>'Consolidated Fin Position Q4'!F43</f>
        <v>12624683.270000001</v>
      </c>
      <c r="G35" s="1123">
        <f>'Consolidated Fin Position Q4'!G43</f>
        <v>7251715.1799999997</v>
      </c>
      <c r="H35" s="1123">
        <f>'Consolidated Fin Position Q4'!H43</f>
        <v>32681848.779999997</v>
      </c>
      <c r="I35" s="1123">
        <f>'Consolidated Fin Position Q4'!I43</f>
        <v>27614128.904384002</v>
      </c>
      <c r="J35" s="1123">
        <f>'Consolidated Fin Position Q4'!J43</f>
        <v>1523076.62</v>
      </c>
      <c r="K35" s="970">
        <f>'Consolidated Fin Position Q4'!K43</f>
        <v>430140042.06000006</v>
      </c>
      <c r="L35" s="695">
        <f>'Consolidated Fin Position Q4'!L43</f>
        <v>0</v>
      </c>
    </row>
    <row r="36" spans="1:12" ht="27.75" customHeight="1" thickBot="1" x14ac:dyDescent="0.35">
      <c r="A36" s="546" t="s">
        <v>152</v>
      </c>
      <c r="B36" s="682">
        <f>B34/B35</f>
        <v>0.10236255019029253</v>
      </c>
      <c r="C36" s="1133">
        <f t="shared" ref="C36:K36" si="5">C34/C35</f>
        <v>3.7931011948552341E-2</v>
      </c>
      <c r="D36" s="1122">
        <f t="shared" si="5"/>
        <v>0.12209307093773582</v>
      </c>
      <c r="E36" s="1122">
        <f t="shared" si="5"/>
        <v>0.16133193779099048</v>
      </c>
      <c r="F36" s="1122">
        <f t="shared" si="5"/>
        <v>0.40913742305710926</v>
      </c>
      <c r="G36" s="1122">
        <f t="shared" si="5"/>
        <v>0</v>
      </c>
      <c r="H36" s="1122">
        <f t="shared" si="5"/>
        <v>1.818090108671019E-2</v>
      </c>
      <c r="I36" s="1122">
        <f t="shared" si="5"/>
        <v>0.70525430701093605</v>
      </c>
      <c r="J36" s="1122">
        <f t="shared" si="5"/>
        <v>0.36197992455560113</v>
      </c>
      <c r="K36" s="1697">
        <f t="shared" si="5"/>
        <v>3.5875534316908507E-2</v>
      </c>
      <c r="L36" s="683"/>
    </row>
    <row r="37" spans="1:12" ht="27.75" customHeight="1" x14ac:dyDescent="0.3">
      <c r="A37" s="706" t="s">
        <v>156</v>
      </c>
      <c r="B37" s="699"/>
      <c r="C37" s="1139"/>
      <c r="D37" s="1127"/>
      <c r="E37" s="1127"/>
      <c r="F37" s="1127"/>
      <c r="G37" s="1153"/>
      <c r="H37" s="1127"/>
      <c r="I37" s="1127"/>
      <c r="J37" s="1153"/>
      <c r="K37" s="1695"/>
      <c r="L37" s="700"/>
    </row>
    <row r="38" spans="1:12" ht="27.75" customHeight="1" thickBot="1" x14ac:dyDescent="0.35">
      <c r="A38" s="707"/>
      <c r="B38" s="701"/>
      <c r="C38" s="1140"/>
      <c r="D38" s="648"/>
      <c r="E38" s="648"/>
      <c r="F38" s="648"/>
      <c r="G38" s="1154"/>
      <c r="H38" s="648"/>
      <c r="I38" s="648"/>
      <c r="J38" s="1154"/>
      <c r="K38" s="1701"/>
      <c r="L38" s="702"/>
    </row>
    <row r="39" spans="1:12" ht="27.75" customHeight="1" thickBot="1" x14ac:dyDescent="0.35">
      <c r="A39" s="547" t="s">
        <v>156</v>
      </c>
      <c r="B39" s="548"/>
      <c r="C39" s="1141"/>
      <c r="D39" s="1128"/>
      <c r="E39" s="1128"/>
      <c r="F39" s="1128"/>
      <c r="G39" s="1155"/>
      <c r="H39" s="1128"/>
      <c r="I39" s="1128"/>
      <c r="J39" s="1155"/>
      <c r="K39" s="1702"/>
      <c r="L39" s="691"/>
    </row>
  </sheetData>
  <sheetProtection algorithmName="SHA-512" hashValue="WYGtXWwMjzq8WeIHlfn2SBSKCovNPir3BxuqgKGTMTv4wBy/H5k/eyvPOQy5//XtMTjaH4y+ezpKDbMmty5H/w==" saltValue="tS/el6DWYKcitKzLt5QqxQ==" spinCount="100000" sheet="1" objects="1" scenarios="1"/>
  <mergeCells count="7">
    <mergeCell ref="A7:C7"/>
    <mergeCell ref="E6:V6"/>
    <mergeCell ref="A1:C1"/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H72"/>
  <sheetViews>
    <sheetView tabSelected="1" zoomScale="70" zoomScaleNormal="70" workbookViewId="0">
      <selection activeCell="D23" sqref="D23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379" customWidth="1"/>
    <col min="3" max="3" width="16.85546875" style="379" customWidth="1"/>
    <col min="4" max="4" width="18.140625" style="379" customWidth="1"/>
    <col min="5" max="5" width="17" style="379" customWidth="1"/>
    <col min="6" max="6" width="17.42578125" style="379" customWidth="1"/>
    <col min="7" max="231" width="8.85546875" style="46" customWidth="1"/>
    <col min="232" max="16384" width="8.85546875" style="46"/>
  </cols>
  <sheetData>
    <row r="1" spans="1:8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8" ht="18.75" customHeight="1" x14ac:dyDescent="0.3">
      <c r="A2" s="47"/>
      <c r="B2" s="327"/>
      <c r="C2" s="327"/>
      <c r="D2" s="327"/>
      <c r="E2" s="327"/>
      <c r="F2" s="327"/>
    </row>
    <row r="3" spans="1:8" s="49" customFormat="1" ht="18.75" customHeight="1" x14ac:dyDescent="0.3">
      <c r="A3" s="1767" t="s">
        <v>159</v>
      </c>
      <c r="B3" s="1768"/>
      <c r="C3" s="1768"/>
      <c r="D3" s="1768"/>
      <c r="E3" s="1768"/>
      <c r="F3" s="1768"/>
    </row>
    <row r="4" spans="1:8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8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8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8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8" ht="16.5" customHeight="1" thickBot="1" x14ac:dyDescent="0.35">
      <c r="A8" s="281"/>
      <c r="B8" s="328"/>
      <c r="C8" s="329"/>
      <c r="D8" s="328"/>
      <c r="E8" s="329"/>
      <c r="F8" s="328"/>
    </row>
    <row r="9" spans="1:8" ht="17.45" customHeight="1" x14ac:dyDescent="0.3">
      <c r="A9" s="284"/>
      <c r="B9" s="330" t="s">
        <v>160</v>
      </c>
      <c r="C9" s="331" t="s">
        <v>161</v>
      </c>
      <c r="D9" s="330" t="s">
        <v>162</v>
      </c>
      <c r="E9" s="331" t="s">
        <v>163</v>
      </c>
      <c r="F9" s="330" t="s">
        <v>3</v>
      </c>
    </row>
    <row r="10" spans="1:8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8" ht="15" customHeight="1" thickBot="1" x14ac:dyDescent="0.35">
      <c r="A11" s="288"/>
      <c r="B11" s="332" t="s">
        <v>107</v>
      </c>
      <c r="C11" s="334" t="s">
        <v>107</v>
      </c>
      <c r="D11" s="332" t="s">
        <v>107</v>
      </c>
      <c r="E11" s="334" t="s">
        <v>107</v>
      </c>
      <c r="F11" s="332" t="s">
        <v>107</v>
      </c>
    </row>
    <row r="12" spans="1:8" ht="15" customHeight="1" x14ac:dyDescent="0.3">
      <c r="A12" s="291" t="s">
        <v>4</v>
      </c>
      <c r="B12" s="708"/>
      <c r="C12" s="708"/>
      <c r="D12" s="708"/>
      <c r="E12" s="708"/>
      <c r="F12" s="708"/>
    </row>
    <row r="13" spans="1:8" ht="15" customHeight="1" x14ac:dyDescent="0.3">
      <c r="A13" s="294" t="s">
        <v>5</v>
      </c>
      <c r="B13" s="584"/>
      <c r="C13" s="584"/>
      <c r="D13" s="584"/>
      <c r="E13" s="584"/>
      <c r="F13" s="584"/>
    </row>
    <row r="14" spans="1:8" ht="15" customHeight="1" x14ac:dyDescent="0.3">
      <c r="A14" s="296" t="s">
        <v>6</v>
      </c>
      <c r="B14" s="802">
        <v>7796435</v>
      </c>
      <c r="C14" s="802">
        <v>8681063</v>
      </c>
      <c r="D14" s="802">
        <v>9103433</v>
      </c>
      <c r="E14" s="802">
        <v>8648895</v>
      </c>
      <c r="F14" s="802">
        <v>8721806</v>
      </c>
      <c r="H14" s="370"/>
    </row>
    <row r="15" spans="1:8" ht="15" customHeight="1" x14ac:dyDescent="0.3">
      <c r="A15" s="297" t="s">
        <v>7</v>
      </c>
      <c r="B15" s="802">
        <v>0</v>
      </c>
      <c r="C15" s="802">
        <v>0</v>
      </c>
      <c r="D15" s="802">
        <v>0</v>
      </c>
      <c r="E15" s="802">
        <v>0</v>
      </c>
      <c r="F15" s="802">
        <v>0</v>
      </c>
    </row>
    <row r="16" spans="1:8" ht="15" customHeight="1" x14ac:dyDescent="0.3">
      <c r="A16" s="297" t="s">
        <v>8</v>
      </c>
      <c r="B16" s="802">
        <v>0</v>
      </c>
      <c r="C16" s="802">
        <v>0</v>
      </c>
      <c r="D16" s="802">
        <v>0</v>
      </c>
      <c r="E16" s="802">
        <v>0</v>
      </c>
      <c r="F16" s="802">
        <v>0</v>
      </c>
    </row>
    <row r="17" spans="1:6" ht="15" customHeight="1" x14ac:dyDescent="0.3">
      <c r="A17" s="297" t="s">
        <v>9</v>
      </c>
      <c r="B17" s="802">
        <v>0</v>
      </c>
      <c r="C17" s="802">
        <v>0</v>
      </c>
      <c r="D17" s="802">
        <v>0</v>
      </c>
      <c r="E17" s="802">
        <v>0</v>
      </c>
      <c r="F17" s="802">
        <v>0</v>
      </c>
    </row>
    <row r="18" spans="1:6" ht="15" customHeight="1" x14ac:dyDescent="0.3">
      <c r="A18" s="297" t="s">
        <v>10</v>
      </c>
      <c r="B18" s="802">
        <v>1245902</v>
      </c>
      <c r="C18" s="802">
        <v>1221084</v>
      </c>
      <c r="D18" s="802">
        <v>1225214</v>
      </c>
      <c r="E18" s="802">
        <v>1238580</v>
      </c>
      <c r="F18" s="802">
        <v>1204944</v>
      </c>
    </row>
    <row r="19" spans="1:6" ht="15" customHeight="1" x14ac:dyDescent="0.3">
      <c r="A19" s="298" t="s">
        <v>11</v>
      </c>
      <c r="B19" s="802">
        <v>0</v>
      </c>
      <c r="C19" s="802">
        <v>0</v>
      </c>
      <c r="D19" s="1090">
        <v>0</v>
      </c>
      <c r="E19" s="802">
        <v>0</v>
      </c>
      <c r="F19" s="1090">
        <v>0</v>
      </c>
    </row>
    <row r="20" spans="1:6" ht="15" customHeight="1" x14ac:dyDescent="0.3">
      <c r="A20" s="299" t="s">
        <v>12</v>
      </c>
      <c r="B20" s="846">
        <f>SUM(B14:B19)</f>
        <v>9042337</v>
      </c>
      <c r="C20" s="846">
        <f>SUM(C14:C19)</f>
        <v>9902147</v>
      </c>
      <c r="D20" s="846">
        <f>SUM(D14:D19)</f>
        <v>10328647</v>
      </c>
      <c r="E20" s="846">
        <f>SUM(E14:E19)</f>
        <v>9887475</v>
      </c>
      <c r="F20" s="846">
        <f>SUM(F14:F19)</f>
        <v>9926750</v>
      </c>
    </row>
    <row r="21" spans="1:6" ht="15" customHeight="1" x14ac:dyDescent="0.3">
      <c r="A21" s="300"/>
      <c r="B21" s="848"/>
      <c r="C21" s="848"/>
      <c r="D21" s="848"/>
      <c r="E21" s="848"/>
      <c r="F21" s="848"/>
    </row>
    <row r="22" spans="1:6" ht="15" customHeight="1" x14ac:dyDescent="0.3">
      <c r="A22" s="301" t="s">
        <v>13</v>
      </c>
      <c r="B22" s="802"/>
      <c r="C22" s="802"/>
      <c r="D22" s="802"/>
      <c r="E22" s="802"/>
      <c r="F22" s="802"/>
    </row>
    <row r="23" spans="1:6" ht="15" customHeight="1" x14ac:dyDescent="0.3">
      <c r="A23" s="297" t="s">
        <v>14</v>
      </c>
      <c r="B23" s="802">
        <v>0</v>
      </c>
      <c r="C23" s="802">
        <v>0</v>
      </c>
      <c r="D23" s="802">
        <v>0</v>
      </c>
      <c r="E23" s="802">
        <v>0</v>
      </c>
      <c r="F23" s="802">
        <v>0</v>
      </c>
    </row>
    <row r="24" spans="1:6" ht="15" customHeight="1" x14ac:dyDescent="0.3">
      <c r="A24" s="297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0</v>
      </c>
      <c r="C26" s="802">
        <v>0</v>
      </c>
      <c r="D26" s="802">
        <v>0</v>
      </c>
      <c r="E26" s="802">
        <v>0</v>
      </c>
      <c r="F26" s="802">
        <v>0</v>
      </c>
    </row>
    <row r="27" spans="1:6" ht="15" customHeight="1" x14ac:dyDescent="0.3">
      <c r="A27" s="297" t="s">
        <v>119</v>
      </c>
      <c r="B27" s="802">
        <v>11414804</v>
      </c>
      <c r="C27" s="802">
        <v>10817527</v>
      </c>
      <c r="D27" s="802">
        <v>10301571</v>
      </c>
      <c r="E27" s="802">
        <v>10468913</v>
      </c>
      <c r="F27" s="802">
        <v>10120853</v>
      </c>
    </row>
    <row r="28" spans="1:6" ht="15" customHeight="1" x14ac:dyDescent="0.3">
      <c r="A28" s="297" t="s">
        <v>118</v>
      </c>
      <c r="B28" s="802">
        <v>0</v>
      </c>
      <c r="C28" s="802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802">
        <v>0</v>
      </c>
      <c r="D29" s="1090">
        <v>0</v>
      </c>
      <c r="E29" s="802">
        <v>0</v>
      </c>
      <c r="F29" s="1090">
        <v>0</v>
      </c>
    </row>
    <row r="30" spans="1:6" ht="15" customHeight="1" x14ac:dyDescent="0.3">
      <c r="A30" s="299" t="s">
        <v>19</v>
      </c>
      <c r="B30" s="846">
        <f>SUM(B23:B29)</f>
        <v>11414804</v>
      </c>
      <c r="C30" s="846">
        <f>SUM(C23:C29)</f>
        <v>10817527</v>
      </c>
      <c r="D30" s="846">
        <f>SUM(D23:D29)</f>
        <v>10301571</v>
      </c>
      <c r="E30" s="846">
        <f>SUM(E23:E29)</f>
        <v>10468913</v>
      </c>
      <c r="F30" s="846">
        <f>SUM(F23:F29)</f>
        <v>10120853</v>
      </c>
    </row>
    <row r="31" spans="1:6" ht="15" customHeight="1" x14ac:dyDescent="0.3">
      <c r="A31" s="300"/>
      <c r="B31" s="848"/>
      <c r="C31" s="848"/>
      <c r="D31" s="848"/>
      <c r="E31" s="848"/>
      <c r="F31" s="848"/>
    </row>
    <row r="32" spans="1:6" ht="15" customHeight="1" x14ac:dyDescent="0.3">
      <c r="A32" s="301" t="s">
        <v>20</v>
      </c>
      <c r="B32" s="352"/>
      <c r="C32" s="352"/>
      <c r="D32" s="352"/>
      <c r="E32" s="352"/>
      <c r="F32" s="352"/>
    </row>
    <row r="33" spans="1:6" ht="15" customHeight="1" x14ac:dyDescent="0.3">
      <c r="A33" s="278" t="s">
        <v>21</v>
      </c>
      <c r="B33" s="802">
        <v>0</v>
      </c>
      <c r="C33" s="802">
        <v>0</v>
      </c>
      <c r="D33" s="352">
        <v>0</v>
      </c>
      <c r="E33" s="802">
        <v>0</v>
      </c>
      <c r="F33" s="352">
        <v>0</v>
      </c>
    </row>
    <row r="34" spans="1:6" ht="15" customHeight="1" x14ac:dyDescent="0.3">
      <c r="A34" s="278" t="s">
        <v>22</v>
      </c>
      <c r="B34" s="802">
        <v>114608</v>
      </c>
      <c r="C34" s="802">
        <v>100705</v>
      </c>
      <c r="D34" s="352">
        <v>87663</v>
      </c>
      <c r="E34" s="802">
        <v>73309</v>
      </c>
      <c r="F34" s="352">
        <v>59296</v>
      </c>
    </row>
    <row r="35" spans="1:6" ht="15" customHeight="1" x14ac:dyDescent="0.3">
      <c r="A35" s="278" t="s">
        <v>23</v>
      </c>
      <c r="B35" s="802">
        <v>0</v>
      </c>
      <c r="C35" s="802">
        <v>0</v>
      </c>
      <c r="D35" s="352">
        <v>0</v>
      </c>
      <c r="E35" s="802">
        <v>0</v>
      </c>
      <c r="F35" s="352">
        <v>0</v>
      </c>
    </row>
    <row r="36" spans="1:6" ht="15" customHeight="1" x14ac:dyDescent="0.3">
      <c r="A36" s="278" t="s">
        <v>24</v>
      </c>
      <c r="B36" s="802">
        <v>0</v>
      </c>
      <c r="C36" s="802">
        <v>0</v>
      </c>
      <c r="D36" s="352">
        <v>0</v>
      </c>
      <c r="E36" s="802">
        <v>0</v>
      </c>
      <c r="F36" s="352">
        <v>0</v>
      </c>
    </row>
    <row r="37" spans="1:6" ht="15" customHeight="1" x14ac:dyDescent="0.3">
      <c r="A37" s="278" t="s">
        <v>25</v>
      </c>
      <c r="B37" s="802">
        <v>0</v>
      </c>
      <c r="C37" s="802">
        <v>0</v>
      </c>
      <c r="D37" s="352">
        <v>0</v>
      </c>
      <c r="E37" s="802">
        <v>0</v>
      </c>
      <c r="F37" s="352">
        <v>0</v>
      </c>
    </row>
    <row r="38" spans="1:6" ht="15" customHeight="1" x14ac:dyDescent="0.3">
      <c r="A38" s="279" t="s">
        <v>26</v>
      </c>
      <c r="B38" s="802">
        <v>534600</v>
      </c>
      <c r="C38" s="802">
        <v>534600</v>
      </c>
      <c r="D38" s="355">
        <v>534600</v>
      </c>
      <c r="E38" s="802">
        <v>534600</v>
      </c>
      <c r="F38" s="355">
        <v>534600</v>
      </c>
    </row>
    <row r="39" spans="1:6" ht="15" customHeight="1" x14ac:dyDescent="0.3">
      <c r="A39" s="299" t="s">
        <v>27</v>
      </c>
      <c r="B39" s="846">
        <f>SUM(B32:B38)</f>
        <v>649208</v>
      </c>
      <c r="C39" s="846">
        <f>SUM(C32:C38)</f>
        <v>635305</v>
      </c>
      <c r="D39" s="846">
        <f>SUM(D32:D38)</f>
        <v>622263</v>
      </c>
      <c r="E39" s="846">
        <f>SUM(E32:E38)</f>
        <v>607909</v>
      </c>
      <c r="F39" s="846">
        <f>SUM(F32:F38)</f>
        <v>593896</v>
      </c>
    </row>
    <row r="40" spans="1:6" ht="15" customHeight="1" x14ac:dyDescent="0.3">
      <c r="A40" s="302"/>
      <c r="B40" s="850"/>
      <c r="C40" s="850"/>
      <c r="D40" s="850"/>
      <c r="E40" s="850"/>
      <c r="F40" s="850"/>
    </row>
    <row r="41" spans="1:6" ht="15" customHeight="1" x14ac:dyDescent="0.3">
      <c r="A41" s="294" t="s">
        <v>28</v>
      </c>
      <c r="B41" s="802">
        <v>0</v>
      </c>
      <c r="C41" s="802">
        <v>0</v>
      </c>
      <c r="D41" s="802">
        <v>0</v>
      </c>
      <c r="E41" s="802">
        <v>0</v>
      </c>
      <c r="F41" s="802">
        <v>0</v>
      </c>
    </row>
    <row r="42" spans="1:6" ht="15" customHeight="1" x14ac:dyDescent="0.3">
      <c r="A42" s="303"/>
      <c r="B42" s="355"/>
      <c r="C42" s="355"/>
      <c r="D42" s="355"/>
      <c r="E42" s="355"/>
      <c r="F42" s="355"/>
    </row>
    <row r="43" spans="1:6" ht="15" customHeight="1" x14ac:dyDescent="0.3">
      <c r="A43" s="299" t="s">
        <v>29</v>
      </c>
      <c r="B43" s="846">
        <f>B20+B30+B39+B41</f>
        <v>21106349</v>
      </c>
      <c r="C43" s="846">
        <f>C20+C30+C39+C41</f>
        <v>21354979</v>
      </c>
      <c r="D43" s="846">
        <f>D20+D30+D39+D41</f>
        <v>21252481</v>
      </c>
      <c r="E43" s="846">
        <f>E20+E30+E39+E41</f>
        <v>20964297</v>
      </c>
      <c r="F43" s="846">
        <f>F20+F30+F39+F41</f>
        <v>20641499</v>
      </c>
    </row>
    <row r="44" spans="1:6" ht="15" customHeight="1" x14ac:dyDescent="0.3">
      <c r="A44" s="304"/>
      <c r="B44" s="365"/>
      <c r="C44" s="365"/>
      <c r="D44" s="365"/>
      <c r="E44" s="365"/>
      <c r="F44" s="365"/>
    </row>
    <row r="45" spans="1:6" ht="15" customHeight="1" x14ac:dyDescent="0.3">
      <c r="A45" s="294" t="s">
        <v>30</v>
      </c>
      <c r="B45" s="352"/>
      <c r="C45" s="352"/>
      <c r="D45" s="352"/>
      <c r="E45" s="352"/>
      <c r="F45" s="352"/>
    </row>
    <row r="46" spans="1:6" ht="15" customHeight="1" x14ac:dyDescent="0.3">
      <c r="A46" s="305"/>
      <c r="B46" s="352"/>
      <c r="C46" s="352"/>
      <c r="D46" s="352"/>
      <c r="E46" s="352"/>
      <c r="F46" s="352"/>
    </row>
    <row r="47" spans="1:6" ht="15" customHeight="1" x14ac:dyDescent="0.3">
      <c r="A47" s="294" t="s">
        <v>31</v>
      </c>
      <c r="B47" s="802"/>
      <c r="C47" s="802"/>
      <c r="D47" s="802"/>
      <c r="E47" s="802"/>
      <c r="F47" s="802"/>
    </row>
    <row r="48" spans="1:6" ht="15" customHeight="1" x14ac:dyDescent="0.3">
      <c r="A48" s="278" t="s">
        <v>32</v>
      </c>
      <c r="B48" s="802">
        <v>224929</v>
      </c>
      <c r="C48" s="802">
        <v>226526</v>
      </c>
      <c r="D48" s="352">
        <v>229571</v>
      </c>
      <c r="E48" s="802">
        <v>183147</v>
      </c>
      <c r="F48" s="352">
        <v>279979</v>
      </c>
    </row>
    <row r="49" spans="1:6" ht="15" customHeight="1" x14ac:dyDescent="0.3">
      <c r="A49" s="306" t="s">
        <v>50</v>
      </c>
      <c r="B49" s="802">
        <v>0</v>
      </c>
      <c r="C49" s="802">
        <v>0</v>
      </c>
      <c r="D49" s="352">
        <v>0</v>
      </c>
      <c r="E49" s="802">
        <v>0</v>
      </c>
      <c r="F49" s="352">
        <v>0</v>
      </c>
    </row>
    <row r="50" spans="1:6" ht="15" customHeight="1" x14ac:dyDescent="0.3">
      <c r="A50" s="306" t="s">
        <v>164</v>
      </c>
      <c r="B50" s="802">
        <v>0</v>
      </c>
      <c r="C50" s="802">
        <v>0</v>
      </c>
      <c r="D50" s="352">
        <v>0</v>
      </c>
      <c r="E50" s="802">
        <v>0</v>
      </c>
      <c r="F50" s="352">
        <v>0</v>
      </c>
    </row>
    <row r="51" spans="1:6" ht="15" customHeight="1" x14ac:dyDescent="0.3">
      <c r="A51" s="306" t="s">
        <v>109</v>
      </c>
      <c r="B51" s="802">
        <v>0</v>
      </c>
      <c r="C51" s="802">
        <v>0</v>
      </c>
      <c r="D51" s="352">
        <v>0</v>
      </c>
      <c r="E51" s="802">
        <v>0</v>
      </c>
      <c r="F51" s="352">
        <v>0</v>
      </c>
    </row>
    <row r="52" spans="1:6" ht="15" customHeight="1" x14ac:dyDescent="0.3">
      <c r="A52" s="306" t="s">
        <v>33</v>
      </c>
      <c r="B52" s="802">
        <v>0</v>
      </c>
      <c r="C52" s="802">
        <v>0</v>
      </c>
      <c r="D52" s="352">
        <v>0</v>
      </c>
      <c r="E52" s="802">
        <v>0</v>
      </c>
      <c r="F52" s="352">
        <v>0</v>
      </c>
    </row>
    <row r="53" spans="1:6" ht="15" customHeight="1" x14ac:dyDescent="0.3">
      <c r="A53" s="306" t="s">
        <v>34</v>
      </c>
      <c r="B53" s="802">
        <v>0</v>
      </c>
      <c r="C53" s="802">
        <v>0</v>
      </c>
      <c r="D53" s="352">
        <v>0</v>
      </c>
      <c r="E53" s="802">
        <v>0</v>
      </c>
      <c r="F53" s="352">
        <v>0</v>
      </c>
    </row>
    <row r="54" spans="1:6" ht="15" customHeight="1" x14ac:dyDescent="0.3">
      <c r="A54" s="278" t="s">
        <v>35</v>
      </c>
      <c r="B54" s="802">
        <v>2663</v>
      </c>
      <c r="C54" s="802">
        <v>901</v>
      </c>
      <c r="D54" s="352">
        <v>489</v>
      </c>
      <c r="E54" s="802">
        <v>77</v>
      </c>
      <c r="F54" s="352">
        <v>334</v>
      </c>
    </row>
    <row r="55" spans="1:6" ht="15" customHeight="1" x14ac:dyDescent="0.3">
      <c r="A55" s="278" t="s">
        <v>36</v>
      </c>
      <c r="B55" s="802">
        <v>0</v>
      </c>
      <c r="C55" s="802">
        <v>0</v>
      </c>
      <c r="D55" s="352">
        <v>0</v>
      </c>
      <c r="E55" s="802">
        <v>0</v>
      </c>
      <c r="F55" s="352">
        <v>0</v>
      </c>
    </row>
    <row r="56" spans="1:6" ht="15" customHeight="1" x14ac:dyDescent="0.3">
      <c r="A56" s="279" t="s">
        <v>37</v>
      </c>
      <c r="B56" s="802">
        <v>0</v>
      </c>
      <c r="C56" s="802">
        <v>0</v>
      </c>
      <c r="D56" s="355">
        <v>0</v>
      </c>
      <c r="E56" s="802">
        <v>0</v>
      </c>
      <c r="F56" s="355">
        <v>0</v>
      </c>
    </row>
    <row r="57" spans="1:6" ht="15" customHeight="1" x14ac:dyDescent="0.3">
      <c r="A57" s="299" t="s">
        <v>38</v>
      </c>
      <c r="B57" s="846">
        <f>SUM(B48:B56)</f>
        <v>227592</v>
      </c>
      <c r="C57" s="846">
        <f>SUM(C48:C56)</f>
        <v>227427</v>
      </c>
      <c r="D57" s="846">
        <f>SUM(D48:D56)</f>
        <v>230060</v>
      </c>
      <c r="E57" s="846">
        <f>SUM(E48:E56)</f>
        <v>183224</v>
      </c>
      <c r="F57" s="846">
        <f>SUM(F48:F56)</f>
        <v>280313</v>
      </c>
    </row>
    <row r="58" spans="1:6" ht="15" customHeight="1" x14ac:dyDescent="0.3">
      <c r="A58" s="307"/>
      <c r="B58" s="848"/>
      <c r="C58" s="848"/>
      <c r="D58" s="848"/>
      <c r="E58" s="848"/>
      <c r="F58" s="848"/>
    </row>
    <row r="59" spans="1:6" ht="15" customHeight="1" x14ac:dyDescent="0.3">
      <c r="A59" s="294" t="s">
        <v>39</v>
      </c>
      <c r="B59" s="352"/>
      <c r="C59" s="352"/>
      <c r="D59" s="352"/>
      <c r="E59" s="352"/>
      <c r="F59" s="352"/>
    </row>
    <row r="60" spans="1:6" ht="15" customHeight="1" x14ac:dyDescent="0.3">
      <c r="A60" s="278" t="s">
        <v>117</v>
      </c>
      <c r="B60" s="802">
        <v>397627</v>
      </c>
      <c r="C60" s="802">
        <v>335199</v>
      </c>
      <c r="D60" s="352">
        <v>291586</v>
      </c>
      <c r="E60" s="802">
        <v>247973</v>
      </c>
      <c r="F60" s="352">
        <v>204360</v>
      </c>
    </row>
    <row r="61" spans="1:6" ht="15" customHeight="1" x14ac:dyDescent="0.3">
      <c r="A61" s="278" t="s">
        <v>40</v>
      </c>
      <c r="B61" s="802">
        <v>364000</v>
      </c>
      <c r="C61" s="802">
        <v>364000</v>
      </c>
      <c r="D61" s="352">
        <v>364000</v>
      </c>
      <c r="E61" s="802">
        <v>364000</v>
      </c>
      <c r="F61" s="352">
        <v>364000</v>
      </c>
    </row>
    <row r="62" spans="1:6" ht="15" customHeight="1" x14ac:dyDescent="0.3">
      <c r="A62" s="280"/>
      <c r="B62" s="355"/>
      <c r="C62" s="355"/>
      <c r="D62" s="355"/>
      <c r="E62" s="355"/>
      <c r="F62" s="355"/>
    </row>
    <row r="63" spans="1:6" ht="15" customHeight="1" x14ac:dyDescent="0.3">
      <c r="A63" s="299" t="s">
        <v>41</v>
      </c>
      <c r="B63" s="846">
        <f>SUM(B60:B62)</f>
        <v>761627</v>
      </c>
      <c r="C63" s="846">
        <f>SUM(C60:C62)</f>
        <v>699199</v>
      </c>
      <c r="D63" s="846">
        <f>SUM(D60:D62)</f>
        <v>655586</v>
      </c>
      <c r="E63" s="846">
        <f>SUM(E60:E62)</f>
        <v>611973</v>
      </c>
      <c r="F63" s="846">
        <f>SUM(F60:F62)</f>
        <v>568360</v>
      </c>
    </row>
    <row r="64" spans="1:6" ht="15" customHeight="1" x14ac:dyDescent="0.3">
      <c r="A64" s="307"/>
      <c r="B64" s="848"/>
      <c r="C64" s="848"/>
      <c r="D64" s="848"/>
      <c r="E64" s="848"/>
      <c r="F64" s="848"/>
    </row>
    <row r="65" spans="1:6" ht="15" customHeight="1" x14ac:dyDescent="0.3">
      <c r="A65" s="294" t="s">
        <v>42</v>
      </c>
      <c r="B65" s="352"/>
      <c r="C65" s="352"/>
      <c r="D65" s="352"/>
      <c r="E65" s="352"/>
      <c r="F65" s="352"/>
    </row>
    <row r="66" spans="1:6" ht="15" customHeight="1" x14ac:dyDescent="0.3">
      <c r="A66" s="278" t="s">
        <v>43</v>
      </c>
      <c r="B66" s="802">
        <v>10555698</v>
      </c>
      <c r="C66" s="802">
        <v>10985698</v>
      </c>
      <c r="D66" s="352">
        <v>10985698</v>
      </c>
      <c r="E66" s="802">
        <v>10985698</v>
      </c>
      <c r="F66" s="352">
        <v>10985698</v>
      </c>
    </row>
    <row r="67" spans="1:6" ht="15" customHeight="1" x14ac:dyDescent="0.3">
      <c r="A67" s="278" t="s">
        <v>44</v>
      </c>
      <c r="B67" s="802">
        <v>0</v>
      </c>
      <c r="C67" s="802">
        <v>0</v>
      </c>
      <c r="D67" s="352">
        <v>0</v>
      </c>
      <c r="E67" s="802">
        <v>0</v>
      </c>
      <c r="F67" s="352">
        <v>0</v>
      </c>
    </row>
    <row r="68" spans="1:6" ht="15" customHeight="1" x14ac:dyDescent="0.3">
      <c r="A68" s="278" t="s">
        <v>45</v>
      </c>
      <c r="B68" s="802">
        <v>0</v>
      </c>
      <c r="C68" s="802">
        <v>0</v>
      </c>
      <c r="D68" s="352">
        <v>0</v>
      </c>
      <c r="E68" s="802">
        <v>0</v>
      </c>
      <c r="F68" s="352">
        <v>0</v>
      </c>
    </row>
    <row r="69" spans="1:6" ht="15" customHeight="1" x14ac:dyDescent="0.3">
      <c r="A69" s="279" t="s">
        <v>46</v>
      </c>
      <c r="B69" s="802">
        <v>9561432</v>
      </c>
      <c r="C69" s="802">
        <v>9442655</v>
      </c>
      <c r="D69" s="355">
        <v>9381137</v>
      </c>
      <c r="E69" s="802">
        <v>9183401</v>
      </c>
      <c r="F69" s="355">
        <v>8807128</v>
      </c>
    </row>
    <row r="70" spans="1:6" ht="15" customHeight="1" x14ac:dyDescent="0.3">
      <c r="A70" s="299" t="s">
        <v>47</v>
      </c>
      <c r="B70" s="1044">
        <f>SUM(B66:B69)</f>
        <v>20117130</v>
      </c>
      <c r="C70" s="846">
        <f>SUM(C66+C67+C68+C69)</f>
        <v>20428353</v>
      </c>
      <c r="D70" s="846">
        <f>SUM(D66:D69)</f>
        <v>20366835</v>
      </c>
      <c r="E70" s="846">
        <f>SUM(E66:E69)</f>
        <v>20169099</v>
      </c>
      <c r="F70" s="846">
        <f>SUM(F66:F69)</f>
        <v>19792826</v>
      </c>
    </row>
    <row r="71" spans="1:6" ht="15.75" customHeight="1" x14ac:dyDescent="0.3">
      <c r="A71" s="308"/>
      <c r="B71" s="373"/>
      <c r="C71" s="373"/>
      <c r="D71" s="373"/>
      <c r="E71" s="373"/>
      <c r="F71" s="373"/>
    </row>
    <row r="72" spans="1:6" ht="16.5" customHeight="1" thickBot="1" x14ac:dyDescent="0.35">
      <c r="A72" s="309" t="s">
        <v>48</v>
      </c>
      <c r="B72" s="855">
        <f>B70+B63+B57</f>
        <v>21106349</v>
      </c>
      <c r="C72" s="855">
        <f>C70+C63+C57</f>
        <v>21354979</v>
      </c>
      <c r="D72" s="855">
        <f>D70+D63+D57</f>
        <v>21252481</v>
      </c>
      <c r="E72" s="855">
        <f>E70+E63+E57</f>
        <v>20964296</v>
      </c>
      <c r="F72" s="855">
        <f>F70+F63+F57</f>
        <v>20641499</v>
      </c>
    </row>
  </sheetData>
  <sheetProtection algorithmName="SHA-512" hashValue="o63EI0adfmqGd3/ikltQW/0KF8ZY0A6zb/V/wqlyZhLit3Lu5XqCop6Q7onnlJ9eqD4L0R44V6s675MvscDJRQ==" saltValue="E4bA1C7ZuWo5vD8pRb3JMg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G83"/>
  <sheetViews>
    <sheetView view="pageBreakPreview" topLeftCell="A4" zoomScale="70" zoomScaleNormal="80" zoomScaleSheetLayoutView="70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G18" sqref="G18"/>
    </sheetView>
  </sheetViews>
  <sheetFormatPr defaultRowHeight="18.75" x14ac:dyDescent="0.3"/>
  <cols>
    <col min="1" max="1" width="59.7109375" style="46" customWidth="1"/>
    <col min="2" max="3" width="14.140625" style="379" customWidth="1"/>
    <col min="4" max="4" width="13.140625" style="379" customWidth="1"/>
    <col min="5" max="5" width="11" style="276" customWidth="1"/>
    <col min="6" max="6" width="1" style="46" customWidth="1"/>
    <col min="7" max="7" width="14.5703125" style="379" customWidth="1"/>
    <col min="8" max="8" width="14.28515625" style="379" customWidth="1"/>
    <col min="9" max="9" width="12.140625" style="379" customWidth="1"/>
    <col min="10" max="10" width="12" style="322" customWidth="1"/>
    <col min="11" max="11" width="1.140625" style="46" customWidth="1"/>
    <col min="12" max="12" width="14" style="379" customWidth="1"/>
    <col min="13" max="13" width="14.140625" style="379" customWidth="1"/>
    <col min="14" max="14" width="12.85546875" style="379" customWidth="1"/>
    <col min="15" max="15" width="10.5703125" style="277" customWidth="1"/>
    <col min="16" max="16" width="1" style="46" customWidth="1"/>
    <col min="17" max="17" width="13.85546875" style="379" customWidth="1"/>
    <col min="18" max="18" width="13.140625" style="379" customWidth="1"/>
    <col min="19" max="19" width="12.85546875" style="379" customWidth="1"/>
    <col min="20" max="20" width="10.85546875" style="277" customWidth="1"/>
    <col min="21" max="21" width="1.28515625" style="46" customWidth="1"/>
    <col min="22" max="22" width="14.28515625" style="379" customWidth="1"/>
    <col min="23" max="23" width="14.140625" style="379" customWidth="1"/>
    <col min="24" max="24" width="13" style="379" customWidth="1"/>
    <col min="25" max="25" width="10.7109375" style="277" customWidth="1"/>
    <col min="26" max="26" width="1" style="46" customWidth="1"/>
    <col min="27" max="27" width="16.28515625" style="379" customWidth="1"/>
    <col min="28" max="28" width="13.7109375" style="379" customWidth="1"/>
    <col min="29" max="29" width="11.570312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1749" t="s">
        <v>49</v>
      </c>
      <c r="B1" s="1750"/>
      <c r="C1" s="1750"/>
      <c r="D1" s="1750"/>
      <c r="E1" s="1750"/>
      <c r="F1" s="1750"/>
      <c r="G1" s="1750"/>
      <c r="H1" s="1750"/>
      <c r="I1" s="380"/>
      <c r="J1" s="310"/>
      <c r="K1" s="85"/>
      <c r="L1" s="381"/>
      <c r="M1" s="381"/>
      <c r="N1" s="381"/>
      <c r="O1" s="87"/>
      <c r="P1" s="116"/>
      <c r="Q1" s="380"/>
      <c r="R1" s="382"/>
      <c r="S1" s="394"/>
      <c r="T1" s="89"/>
      <c r="U1" s="116"/>
      <c r="V1" s="395"/>
      <c r="W1" s="395"/>
      <c r="X1" s="395"/>
      <c r="Y1" s="119"/>
      <c r="Z1" s="116"/>
      <c r="AA1" s="395"/>
      <c r="AB1" s="395"/>
      <c r="AC1" s="119"/>
      <c r="AD1" s="116"/>
      <c r="AE1" s="120"/>
    </row>
    <row r="2" spans="1:31" x14ac:dyDescent="0.3">
      <c r="A2" s="121"/>
      <c r="B2" s="383"/>
      <c r="C2" s="383"/>
      <c r="D2" s="383"/>
      <c r="E2" s="91"/>
      <c r="F2" s="92"/>
      <c r="G2" s="383"/>
      <c r="H2" s="383"/>
      <c r="I2" s="383"/>
      <c r="J2" s="311"/>
      <c r="K2" s="93"/>
      <c r="L2" s="327"/>
      <c r="M2" s="327"/>
      <c r="N2" s="327"/>
      <c r="O2" s="94"/>
      <c r="P2" s="93"/>
      <c r="Q2" s="383"/>
      <c r="R2" s="384"/>
      <c r="S2" s="396"/>
      <c r="T2" s="96"/>
      <c r="U2" s="93"/>
      <c r="V2" s="397"/>
      <c r="W2" s="397"/>
      <c r="X2" s="397"/>
      <c r="Y2" s="124"/>
      <c r="Z2" s="93"/>
      <c r="AA2" s="397"/>
      <c r="AB2" s="397"/>
      <c r="AC2" s="124"/>
      <c r="AD2" s="93"/>
      <c r="AE2" s="125"/>
    </row>
    <row r="3" spans="1:31" s="49" customFormat="1" x14ac:dyDescent="0.3">
      <c r="A3" s="1751" t="s">
        <v>159</v>
      </c>
      <c r="B3" s="1752"/>
      <c r="C3" s="1752"/>
      <c r="D3" s="1752"/>
      <c r="E3" s="1752"/>
      <c r="F3" s="1752"/>
      <c r="G3" s="1752"/>
      <c r="H3" s="1752"/>
      <c r="I3" s="385"/>
      <c r="J3" s="312"/>
      <c r="K3" s="99"/>
      <c r="L3" s="386"/>
      <c r="M3" s="386"/>
      <c r="N3" s="386"/>
      <c r="O3" s="101"/>
      <c r="P3" s="126"/>
      <c r="Q3" s="385"/>
      <c r="R3" s="387"/>
      <c r="S3" s="393"/>
      <c r="T3" s="103"/>
      <c r="U3" s="126"/>
      <c r="V3" s="398"/>
      <c r="W3" s="398"/>
      <c r="X3" s="398"/>
      <c r="Y3" s="128"/>
      <c r="Z3" s="126"/>
      <c r="AA3" s="398"/>
      <c r="AB3" s="398"/>
      <c r="AC3" s="128"/>
      <c r="AD3" s="126"/>
      <c r="AE3" s="129"/>
    </row>
    <row r="4" spans="1:31" x14ac:dyDescent="0.3">
      <c r="A4" s="1753" t="s">
        <v>51</v>
      </c>
      <c r="B4" s="1754"/>
      <c r="C4" s="1754"/>
      <c r="D4" s="1754"/>
      <c r="E4" s="1754"/>
      <c r="F4" s="1754"/>
      <c r="G4" s="1754"/>
      <c r="H4" s="1754"/>
      <c r="I4" s="383"/>
      <c r="J4" s="311"/>
      <c r="K4" s="104"/>
      <c r="L4" s="388"/>
      <c r="M4" s="388"/>
      <c r="N4" s="388"/>
      <c r="O4" s="106"/>
      <c r="P4" s="130"/>
      <c r="Q4" s="389"/>
      <c r="R4" s="390"/>
      <c r="S4" s="396"/>
      <c r="T4" s="109"/>
      <c r="U4" s="130"/>
      <c r="V4" s="397"/>
      <c r="W4" s="397"/>
      <c r="X4" s="397"/>
      <c r="Y4" s="124"/>
      <c r="Z4" s="130"/>
      <c r="AA4" s="397"/>
      <c r="AB4" s="397"/>
      <c r="AC4" s="124"/>
      <c r="AD4" s="130"/>
      <c r="AE4" s="125"/>
    </row>
    <row r="5" spans="1:31" x14ac:dyDescent="0.3">
      <c r="A5" s="1753" t="s">
        <v>52</v>
      </c>
      <c r="B5" s="1755"/>
      <c r="C5" s="1755"/>
      <c r="D5" s="1755"/>
      <c r="E5" s="1755"/>
      <c r="F5" s="1755"/>
      <c r="G5" s="1755"/>
      <c r="H5" s="1755"/>
      <c r="I5" s="383"/>
      <c r="J5" s="311"/>
      <c r="K5" s="104"/>
      <c r="L5" s="388"/>
      <c r="M5" s="388"/>
      <c r="N5" s="388"/>
      <c r="O5" s="106"/>
      <c r="P5" s="130"/>
      <c r="Q5" s="389"/>
      <c r="R5" s="390"/>
      <c r="S5" s="396"/>
      <c r="T5" s="109"/>
      <c r="U5" s="130"/>
      <c r="V5" s="397"/>
      <c r="W5" s="397"/>
      <c r="X5" s="397"/>
      <c r="Y5" s="124"/>
      <c r="Z5" s="130"/>
      <c r="AA5" s="397"/>
      <c r="AB5" s="397"/>
      <c r="AC5" s="124"/>
      <c r="AD5" s="130"/>
      <c r="AE5" s="125"/>
    </row>
    <row r="6" spans="1:31" s="49" customFormat="1" x14ac:dyDescent="0.3">
      <c r="A6" s="1751" t="s">
        <v>191</v>
      </c>
      <c r="B6" s="1771"/>
      <c r="C6" s="1771"/>
      <c r="D6" s="1771"/>
      <c r="E6" s="1771"/>
      <c r="F6" s="1771"/>
      <c r="G6" s="1771"/>
      <c r="H6" s="1771"/>
      <c r="I6" s="385"/>
      <c r="J6" s="312"/>
      <c r="K6" s="110"/>
      <c r="L6" s="391"/>
      <c r="M6" s="391"/>
      <c r="N6" s="391"/>
      <c r="O6" s="112"/>
      <c r="P6" s="126"/>
      <c r="Q6" s="392"/>
      <c r="R6" s="393"/>
      <c r="S6" s="393"/>
      <c r="T6" s="115"/>
      <c r="U6" s="126"/>
      <c r="V6" s="398"/>
      <c r="W6" s="398"/>
      <c r="X6" s="398"/>
      <c r="Y6" s="128"/>
      <c r="Z6" s="126"/>
      <c r="AA6" s="386"/>
      <c r="AB6" s="386"/>
      <c r="AC6" s="128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385"/>
      <c r="J7" s="312"/>
      <c r="K7" s="110"/>
      <c r="L7" s="391"/>
      <c r="M7" s="391"/>
      <c r="N7" s="391"/>
      <c r="O7" s="112"/>
      <c r="P7" s="126"/>
      <c r="Q7" s="392"/>
      <c r="R7" s="393"/>
      <c r="S7" s="393"/>
      <c r="T7" s="115"/>
      <c r="U7" s="126"/>
      <c r="V7" s="398"/>
      <c r="W7" s="398"/>
      <c r="X7" s="398"/>
      <c r="Y7" s="128"/>
      <c r="Z7" s="126"/>
      <c r="AA7" s="398"/>
      <c r="AB7" s="398"/>
      <c r="AC7" s="128"/>
      <c r="AD7" s="126"/>
      <c r="AE7" s="129"/>
    </row>
    <row r="8" spans="1:31" ht="19.5" thickBot="1" x14ac:dyDescent="0.35">
      <c r="A8" s="131" t="s">
        <v>165</v>
      </c>
      <c r="B8" s="399"/>
      <c r="C8" s="397"/>
      <c r="D8" s="397"/>
      <c r="E8" s="133"/>
      <c r="F8" s="134"/>
      <c r="G8" s="397"/>
      <c r="H8" s="397"/>
      <c r="I8" s="397"/>
      <c r="J8" s="313"/>
      <c r="K8" s="134"/>
      <c r="L8" s="397"/>
      <c r="M8" s="397"/>
      <c r="N8" s="397"/>
      <c r="O8" s="124"/>
      <c r="P8" s="134"/>
      <c r="Q8" s="397"/>
      <c r="R8" s="397"/>
      <c r="S8" s="397"/>
      <c r="T8" s="124"/>
      <c r="U8" s="130"/>
      <c r="V8" s="397"/>
      <c r="W8" s="397"/>
      <c r="X8" s="397"/>
      <c r="Y8" s="124"/>
      <c r="Z8" s="134"/>
      <c r="AA8" s="397"/>
      <c r="AB8" s="397"/>
      <c r="AC8" s="124"/>
      <c r="AD8" s="134"/>
      <c r="AE8" s="125"/>
    </row>
    <row r="9" spans="1:31" x14ac:dyDescent="0.3">
      <c r="A9" s="135"/>
      <c r="B9" s="1720" t="s">
        <v>53</v>
      </c>
      <c r="C9" s="1717"/>
      <c r="D9" s="1718"/>
      <c r="E9" s="1719"/>
      <c r="F9" s="136"/>
      <c r="G9" s="1720" t="s">
        <v>54</v>
      </c>
      <c r="H9" s="1717"/>
      <c r="I9" s="1717"/>
      <c r="J9" s="1721"/>
      <c r="K9" s="136"/>
      <c r="L9" s="1770" t="s">
        <v>55</v>
      </c>
      <c r="M9" s="1723"/>
      <c r="N9" s="1723"/>
      <c r="O9" s="1724"/>
      <c r="P9" s="136"/>
      <c r="Q9" s="1725" t="s">
        <v>56</v>
      </c>
      <c r="R9" s="1718"/>
      <c r="S9" s="1718"/>
      <c r="T9" s="1719"/>
      <c r="U9" s="794"/>
      <c r="V9" s="1745" t="s">
        <v>57</v>
      </c>
      <c r="W9" s="1727"/>
      <c r="X9" s="1727"/>
      <c r="Y9" s="1746"/>
      <c r="Z9" s="136"/>
      <c r="AA9" s="1745" t="s">
        <v>190</v>
      </c>
      <c r="AB9" s="1727"/>
      <c r="AC9" s="1746"/>
      <c r="AD9" s="136"/>
      <c r="AE9" s="1738" t="s">
        <v>58</v>
      </c>
    </row>
    <row r="10" spans="1:31" ht="37.5" x14ac:dyDescent="0.3">
      <c r="A10" s="137" t="s">
        <v>59</v>
      </c>
      <c r="B10" s="912" t="s">
        <v>60</v>
      </c>
      <c r="C10" s="400" t="s">
        <v>61</v>
      </c>
      <c r="D10" s="1710" t="s">
        <v>62</v>
      </c>
      <c r="E10" s="1711"/>
      <c r="F10" s="1169"/>
      <c r="G10" s="912" t="s">
        <v>60</v>
      </c>
      <c r="H10" s="400" t="s">
        <v>61</v>
      </c>
      <c r="I10" s="1712" t="s">
        <v>62</v>
      </c>
      <c r="J10" s="1713"/>
      <c r="K10" s="918"/>
      <c r="L10" s="914" t="s">
        <v>60</v>
      </c>
      <c r="M10" s="400" t="s">
        <v>61</v>
      </c>
      <c r="N10" s="1712" t="s">
        <v>62</v>
      </c>
      <c r="O10" s="1713"/>
      <c r="P10" s="139"/>
      <c r="Q10" s="401" t="s">
        <v>60</v>
      </c>
      <c r="R10" s="402" t="s">
        <v>61</v>
      </c>
      <c r="S10" s="1714" t="s">
        <v>62</v>
      </c>
      <c r="T10" s="1711"/>
      <c r="U10" s="795"/>
      <c r="V10" s="401" t="s">
        <v>60</v>
      </c>
      <c r="W10" s="402" t="s">
        <v>61</v>
      </c>
      <c r="X10" s="1714" t="s">
        <v>62</v>
      </c>
      <c r="Y10" s="1711"/>
      <c r="Z10" s="139"/>
      <c r="AA10" s="403" t="s">
        <v>63</v>
      </c>
      <c r="AB10" s="1714" t="s">
        <v>64</v>
      </c>
      <c r="AC10" s="1711"/>
      <c r="AD10" s="139"/>
      <c r="AE10" s="1739"/>
    </row>
    <row r="11" spans="1:31" ht="19.5" thickBot="1" x14ac:dyDescent="0.35">
      <c r="A11" s="143"/>
      <c r="B11" s="1158" t="s">
        <v>107</v>
      </c>
      <c r="C11" s="404" t="s">
        <v>107</v>
      </c>
      <c r="D11" s="1159" t="s">
        <v>107</v>
      </c>
      <c r="E11" s="145" t="s">
        <v>65</v>
      </c>
      <c r="F11" s="1170"/>
      <c r="G11" s="1158" t="s">
        <v>107</v>
      </c>
      <c r="H11" s="404" t="s">
        <v>107</v>
      </c>
      <c r="I11" s="405" t="s">
        <v>107</v>
      </c>
      <c r="J11" s="326" t="s">
        <v>65</v>
      </c>
      <c r="K11" s="916"/>
      <c r="L11" s="913" t="s">
        <v>107</v>
      </c>
      <c r="M11" s="404" t="s">
        <v>107</v>
      </c>
      <c r="N11" s="405" t="s">
        <v>107</v>
      </c>
      <c r="O11" s="152" t="s">
        <v>65</v>
      </c>
      <c r="P11" s="796"/>
      <c r="Q11" s="946" t="s">
        <v>107</v>
      </c>
      <c r="R11" s="407" t="s">
        <v>107</v>
      </c>
      <c r="S11" s="408" t="s">
        <v>107</v>
      </c>
      <c r="T11" s="152" t="s">
        <v>65</v>
      </c>
      <c r="U11" s="796"/>
      <c r="V11" s="406" t="s">
        <v>107</v>
      </c>
      <c r="W11" s="407" t="s">
        <v>107</v>
      </c>
      <c r="X11" s="408" t="s">
        <v>107</v>
      </c>
      <c r="Y11" s="152" t="s">
        <v>65</v>
      </c>
      <c r="Z11" s="146"/>
      <c r="AA11" s="406" t="s">
        <v>107</v>
      </c>
      <c r="AB11" s="408" t="s">
        <v>107</v>
      </c>
      <c r="AC11" s="152" t="s">
        <v>65</v>
      </c>
      <c r="AD11" s="146"/>
      <c r="AE11" s="1739"/>
    </row>
    <row r="12" spans="1:31" ht="19.5" thickBot="1" x14ac:dyDescent="0.35">
      <c r="A12" s="153"/>
      <c r="B12" s="1004"/>
      <c r="C12" s="915"/>
      <c r="D12" s="410"/>
      <c r="E12" s="919"/>
      <c r="F12" s="1171"/>
      <c r="G12" s="1004"/>
      <c r="H12" s="409"/>
      <c r="I12" s="410"/>
      <c r="J12" s="933"/>
      <c r="K12" s="917"/>
      <c r="L12" s="915"/>
      <c r="M12" s="1051"/>
      <c r="N12" s="410"/>
      <c r="O12" s="729"/>
      <c r="P12" s="797"/>
      <c r="Q12" s="411"/>
      <c r="R12" s="410"/>
      <c r="S12" s="410"/>
      <c r="T12" s="764"/>
      <c r="U12" s="780"/>
      <c r="V12" s="411"/>
      <c r="W12" s="410"/>
      <c r="X12" s="410"/>
      <c r="Y12" s="729"/>
      <c r="Z12" s="797"/>
      <c r="AA12" s="411"/>
      <c r="AB12" s="410"/>
      <c r="AC12" s="729"/>
      <c r="AD12" s="156"/>
      <c r="AE12" s="1175"/>
    </row>
    <row r="13" spans="1:31" x14ac:dyDescent="0.3">
      <c r="A13" s="158" t="s">
        <v>66</v>
      </c>
      <c r="B13" s="413"/>
      <c r="C13" s="908"/>
      <c r="D13" s="412"/>
      <c r="E13" s="925"/>
      <c r="F13" s="1161"/>
      <c r="G13" s="413"/>
      <c r="H13" s="412"/>
      <c r="I13" s="412"/>
      <c r="J13" s="934"/>
      <c r="K13" s="909"/>
      <c r="L13" s="908"/>
      <c r="M13" s="1052"/>
      <c r="N13" s="412"/>
      <c r="O13" s="730"/>
      <c r="P13" s="781"/>
      <c r="Q13" s="908"/>
      <c r="R13" s="412"/>
      <c r="S13" s="412"/>
      <c r="T13" s="765"/>
      <c r="U13" s="781"/>
      <c r="V13" s="908"/>
      <c r="W13" s="412"/>
      <c r="X13" s="412"/>
      <c r="Y13" s="730"/>
      <c r="Z13" s="950"/>
      <c r="AA13" s="908"/>
      <c r="AB13" s="412"/>
      <c r="AC13" s="730"/>
      <c r="AD13" s="160"/>
      <c r="AE13" s="1176"/>
    </row>
    <row r="14" spans="1:31" ht="19.5" thickBot="1" x14ac:dyDescent="0.35">
      <c r="A14" s="164" t="s">
        <v>132</v>
      </c>
      <c r="B14" s="417">
        <v>4000</v>
      </c>
      <c r="C14" s="990">
        <v>3135</v>
      </c>
      <c r="D14" s="416">
        <f>C14-B14</f>
        <v>-865</v>
      </c>
      <c r="E14" s="926">
        <f>IF(ISERROR(D14/B14),"-",D14/B14)</f>
        <v>-0.21625</v>
      </c>
      <c r="F14" s="1162"/>
      <c r="G14" s="414">
        <v>4000</v>
      </c>
      <c r="H14" s="416">
        <v>2477</v>
      </c>
      <c r="I14" s="416">
        <f>H14-G14</f>
        <v>-1523</v>
      </c>
      <c r="J14" s="935">
        <f t="shared" ref="J14:J25" si="0">IF(ISERROR(I14/G14),"-",I14/G14)</f>
        <v>-0.38074999999999998</v>
      </c>
      <c r="K14" s="910"/>
      <c r="L14" s="567">
        <v>4000</v>
      </c>
      <c r="M14" s="605">
        <v>4773</v>
      </c>
      <c r="N14" s="416">
        <f>M14-L14</f>
        <v>773</v>
      </c>
      <c r="O14" s="731">
        <f t="shared" ref="O14:O25" si="1">IF(ISERROR(N14/L14),"-",N14/L14)</f>
        <v>0.19325000000000001</v>
      </c>
      <c r="P14" s="166"/>
      <c r="Q14" s="604">
        <v>4000</v>
      </c>
      <c r="R14" s="416">
        <v>72115</v>
      </c>
      <c r="S14" s="416">
        <f>R14-Q14</f>
        <v>68115</v>
      </c>
      <c r="T14" s="766">
        <f t="shared" ref="T14:T29" si="2">IF(ISERROR(S14/Q14),"-",S14/Q14)</f>
        <v>17.028749999999999</v>
      </c>
      <c r="U14" s="782"/>
      <c r="V14" s="567">
        <f>B14+G14+L14+Q14</f>
        <v>16000</v>
      </c>
      <c r="W14" s="415">
        <f>C14+H14+M14+R14</f>
        <v>82500</v>
      </c>
      <c r="X14" s="416">
        <f>W14-V14</f>
        <v>66500</v>
      </c>
      <c r="Y14" s="731">
        <f t="shared" ref="Y14:Y25" si="3">IF(ISERROR(X14/V14),"-",X14/V14)</f>
        <v>4.15625</v>
      </c>
      <c r="Z14" s="951"/>
      <c r="AA14" s="567">
        <v>16000</v>
      </c>
      <c r="AB14" s="416">
        <f>AA14-W14</f>
        <v>-66500</v>
      </c>
      <c r="AC14" s="731">
        <f>IF(ISERROR(AB14/AA14),"-",AB14/AA14)</f>
        <v>-4.15625</v>
      </c>
      <c r="AD14" s="166"/>
      <c r="AE14" s="1177"/>
    </row>
    <row r="15" spans="1:31" x14ac:dyDescent="0.3">
      <c r="A15" s="170" t="s">
        <v>111</v>
      </c>
      <c r="B15" s="414">
        <v>0</v>
      </c>
      <c r="C15" s="415">
        <v>0</v>
      </c>
      <c r="D15" s="416">
        <f t="shared" ref="D15:D24" si="4">C15-B15</f>
        <v>0</v>
      </c>
      <c r="E15" s="926" t="str">
        <f t="shared" ref="E15:E25" si="5">IF(ISERROR(D15/B15),"-",D15/B15)</f>
        <v>-</v>
      </c>
      <c r="F15" s="1162"/>
      <c r="G15" s="414">
        <v>0</v>
      </c>
      <c r="H15" s="415">
        <v>0</v>
      </c>
      <c r="I15" s="416">
        <f t="shared" ref="I15:I24" si="6">H15-G15</f>
        <v>0</v>
      </c>
      <c r="J15" s="935" t="str">
        <f t="shared" si="0"/>
        <v>-</v>
      </c>
      <c r="K15" s="1165"/>
      <c r="L15" s="567">
        <v>0</v>
      </c>
      <c r="M15" s="605">
        <v>0</v>
      </c>
      <c r="N15" s="416">
        <f t="shared" ref="N15:N24" si="7">M15-L15</f>
        <v>0</v>
      </c>
      <c r="O15" s="731" t="str">
        <f t="shared" si="1"/>
        <v>-</v>
      </c>
      <c r="P15" s="166"/>
      <c r="Q15" s="604">
        <v>0</v>
      </c>
      <c r="R15" s="416">
        <v>0</v>
      </c>
      <c r="S15" s="416">
        <f>R15-Q15</f>
        <v>0</v>
      </c>
      <c r="T15" s="766" t="str">
        <f t="shared" si="2"/>
        <v>-</v>
      </c>
      <c r="U15" s="782"/>
      <c r="V15" s="567">
        <f t="shared" ref="V15:W24" si="8">B15+G15+L15+Q15</f>
        <v>0</v>
      </c>
      <c r="W15" s="415">
        <f>C15+H15+M15+R15</f>
        <v>0</v>
      </c>
      <c r="X15" s="416">
        <f t="shared" ref="X15:X24" si="9">W15-V15</f>
        <v>0</v>
      </c>
      <c r="Y15" s="731" t="str">
        <f t="shared" si="3"/>
        <v>-</v>
      </c>
      <c r="Z15" s="951"/>
      <c r="AA15" s="567">
        <v>0</v>
      </c>
      <c r="AB15" s="416">
        <f t="shared" ref="AB15:AB24" si="10">AA15-W15</f>
        <v>0</v>
      </c>
      <c r="AC15" s="731" t="str">
        <f t="shared" ref="AC15:AC25" si="11">IF(ISERROR(AB15/AA15),"-",AB15/AA15)</f>
        <v>-</v>
      </c>
      <c r="AD15" s="166"/>
      <c r="AE15" s="1178"/>
    </row>
    <row r="16" spans="1:31" x14ac:dyDescent="0.3">
      <c r="A16" s="170" t="s">
        <v>69</v>
      </c>
      <c r="B16" s="417">
        <v>415367</v>
      </c>
      <c r="C16" s="567">
        <v>231300</v>
      </c>
      <c r="D16" s="416">
        <f t="shared" si="4"/>
        <v>-184067</v>
      </c>
      <c r="E16" s="926">
        <f t="shared" si="5"/>
        <v>-0.44314305180719699</v>
      </c>
      <c r="F16" s="1163"/>
      <c r="G16" s="414">
        <v>415367</v>
      </c>
      <c r="H16" s="415">
        <v>255313</v>
      </c>
      <c r="I16" s="416">
        <f t="shared" si="6"/>
        <v>-160054</v>
      </c>
      <c r="J16" s="935">
        <f t="shared" si="0"/>
        <v>-0.38533152609619925</v>
      </c>
      <c r="K16" s="956"/>
      <c r="L16" s="567">
        <v>415367</v>
      </c>
      <c r="M16" s="605">
        <v>180437</v>
      </c>
      <c r="N16" s="416">
        <f t="shared" si="7"/>
        <v>-234930</v>
      </c>
      <c r="O16" s="731">
        <f t="shared" si="1"/>
        <v>-0.56559620769102981</v>
      </c>
      <c r="P16" s="171"/>
      <c r="Q16" s="604">
        <v>415367</v>
      </c>
      <c r="R16" s="416">
        <v>549121</v>
      </c>
      <c r="S16" s="416">
        <f t="shared" ref="S16:S24" si="12">R16-Q16</f>
        <v>133754</v>
      </c>
      <c r="T16" s="766">
        <f t="shared" si="2"/>
        <v>0.32201402615036823</v>
      </c>
      <c r="U16" s="783"/>
      <c r="V16" s="567">
        <f t="shared" si="8"/>
        <v>1661468</v>
      </c>
      <c r="W16" s="415">
        <f t="shared" si="8"/>
        <v>1216171</v>
      </c>
      <c r="X16" s="416">
        <f t="shared" si="9"/>
        <v>-445297</v>
      </c>
      <c r="Y16" s="731">
        <f t="shared" si="3"/>
        <v>-0.2680141898610145</v>
      </c>
      <c r="Z16" s="951"/>
      <c r="AA16" s="567">
        <v>1661470</v>
      </c>
      <c r="AB16" s="416">
        <f t="shared" si="10"/>
        <v>445299</v>
      </c>
      <c r="AC16" s="731">
        <f t="shared" si="11"/>
        <v>0.26801507099135102</v>
      </c>
      <c r="AD16" s="171"/>
      <c r="AE16" s="1179"/>
    </row>
    <row r="17" spans="1:33" x14ac:dyDescent="0.3">
      <c r="A17" s="170" t="s">
        <v>68</v>
      </c>
      <c r="B17" s="414">
        <v>0</v>
      </c>
      <c r="C17" s="415">
        <v>0</v>
      </c>
      <c r="D17" s="416">
        <f t="shared" si="4"/>
        <v>0</v>
      </c>
      <c r="E17" s="926" t="str">
        <f t="shared" si="5"/>
        <v>-</v>
      </c>
      <c r="F17" s="1162"/>
      <c r="G17" s="414">
        <v>0</v>
      </c>
      <c r="H17" s="415">
        <v>0</v>
      </c>
      <c r="I17" s="416">
        <f t="shared" si="6"/>
        <v>0</v>
      </c>
      <c r="J17" s="935" t="str">
        <f t="shared" si="0"/>
        <v>-</v>
      </c>
      <c r="K17" s="910"/>
      <c r="L17" s="567">
        <v>0</v>
      </c>
      <c r="M17" s="605">
        <v>0</v>
      </c>
      <c r="N17" s="416">
        <f t="shared" si="7"/>
        <v>0</v>
      </c>
      <c r="O17" s="731" t="str">
        <f t="shared" si="1"/>
        <v>-</v>
      </c>
      <c r="P17" s="166"/>
      <c r="Q17" s="604">
        <v>0</v>
      </c>
      <c r="R17" s="416">
        <v>0</v>
      </c>
      <c r="S17" s="416">
        <f t="shared" si="12"/>
        <v>0</v>
      </c>
      <c r="T17" s="766" t="str">
        <f t="shared" si="2"/>
        <v>-</v>
      </c>
      <c r="U17" s="782"/>
      <c r="V17" s="567">
        <f t="shared" si="8"/>
        <v>0</v>
      </c>
      <c r="W17" s="415">
        <f t="shared" si="8"/>
        <v>0</v>
      </c>
      <c r="X17" s="416">
        <f t="shared" si="9"/>
        <v>0</v>
      </c>
      <c r="Y17" s="731" t="str">
        <f t="shared" si="3"/>
        <v>-</v>
      </c>
      <c r="Z17" s="951"/>
      <c r="AA17" s="567">
        <v>0</v>
      </c>
      <c r="AB17" s="416">
        <f t="shared" si="10"/>
        <v>0</v>
      </c>
      <c r="AC17" s="731" t="str">
        <f t="shared" si="11"/>
        <v>-</v>
      </c>
      <c r="AD17" s="166"/>
      <c r="AE17" s="1178"/>
    </row>
    <row r="18" spans="1:33" x14ac:dyDescent="0.3">
      <c r="A18" s="170" t="s">
        <v>71</v>
      </c>
      <c r="B18" s="417">
        <v>17750</v>
      </c>
      <c r="C18" s="990">
        <v>22777</v>
      </c>
      <c r="D18" s="416">
        <f t="shared" si="4"/>
        <v>5027</v>
      </c>
      <c r="E18" s="926">
        <f>IF(ISERROR(D18/B18),"-",D18/B18)</f>
        <v>0.28321126760563381</v>
      </c>
      <c r="F18" s="1162"/>
      <c r="G18" s="414">
        <v>17750</v>
      </c>
      <c r="H18" s="415">
        <v>29041</v>
      </c>
      <c r="I18" s="416">
        <f t="shared" si="6"/>
        <v>11291</v>
      </c>
      <c r="J18" s="935">
        <f t="shared" si="0"/>
        <v>0.63611267605633803</v>
      </c>
      <c r="K18" s="910"/>
      <c r="L18" s="567">
        <v>17750</v>
      </c>
      <c r="M18" s="605">
        <v>1606</v>
      </c>
      <c r="N18" s="416">
        <f t="shared" si="7"/>
        <v>-16144</v>
      </c>
      <c r="O18" s="731">
        <f t="shared" si="1"/>
        <v>-0.9095211267605634</v>
      </c>
      <c r="P18" s="166"/>
      <c r="Q18" s="604">
        <v>17750</v>
      </c>
      <c r="R18" s="416">
        <v>64312</v>
      </c>
      <c r="S18" s="416">
        <f>R18-Q18</f>
        <v>46562</v>
      </c>
      <c r="T18" s="766">
        <f t="shared" si="2"/>
        <v>2.6232112676056336</v>
      </c>
      <c r="U18" s="782"/>
      <c r="V18" s="567">
        <f t="shared" si="8"/>
        <v>71000</v>
      </c>
      <c r="W18" s="415">
        <f>C18+H18+M18+R18</f>
        <v>117736</v>
      </c>
      <c r="X18" s="416">
        <f t="shared" si="9"/>
        <v>46736</v>
      </c>
      <c r="Y18" s="731">
        <f t="shared" si="3"/>
        <v>0.65825352112676061</v>
      </c>
      <c r="Z18" s="169"/>
      <c r="AA18" s="414">
        <v>71000</v>
      </c>
      <c r="AB18" s="416">
        <f t="shared" si="10"/>
        <v>-46736</v>
      </c>
      <c r="AC18" s="731">
        <f t="shared" si="11"/>
        <v>-0.65825352112676061</v>
      </c>
      <c r="AD18" s="166"/>
      <c r="AE18" s="1180"/>
    </row>
    <row r="19" spans="1:33" x14ac:dyDescent="0.3">
      <c r="A19" s="170" t="s">
        <v>188</v>
      </c>
      <c r="B19" s="414">
        <v>0</v>
      </c>
      <c r="C19" s="415">
        <v>0</v>
      </c>
      <c r="D19" s="416">
        <f t="shared" si="4"/>
        <v>0</v>
      </c>
      <c r="E19" s="926" t="str">
        <f t="shared" si="5"/>
        <v>-</v>
      </c>
      <c r="F19" s="1162"/>
      <c r="G19" s="414">
        <v>0</v>
      </c>
      <c r="H19" s="415">
        <v>0</v>
      </c>
      <c r="I19" s="416">
        <f t="shared" si="6"/>
        <v>0</v>
      </c>
      <c r="J19" s="935" t="str">
        <f t="shared" si="0"/>
        <v>-</v>
      </c>
      <c r="K19" s="910"/>
      <c r="L19" s="567">
        <v>0</v>
      </c>
      <c r="M19" s="397">
        <v>0</v>
      </c>
      <c r="N19" s="416">
        <f t="shared" si="7"/>
        <v>0</v>
      </c>
      <c r="O19" s="731" t="str">
        <f t="shared" si="1"/>
        <v>-</v>
      </c>
      <c r="P19" s="166"/>
      <c r="Q19" s="417">
        <v>0</v>
      </c>
      <c r="R19" s="417">
        <v>0</v>
      </c>
      <c r="S19" s="416">
        <f>R19-Q19</f>
        <v>0</v>
      </c>
      <c r="T19" s="766" t="str">
        <f>IF(ISERROR(S19/Q19),"-",S19/Q19)</f>
        <v>-</v>
      </c>
      <c r="U19" s="782"/>
      <c r="V19" s="567">
        <f>B19+G19+L19+Q19</f>
        <v>0</v>
      </c>
      <c r="W19" s="415">
        <f>C19+H19+M19+R19</f>
        <v>0</v>
      </c>
      <c r="X19" s="416">
        <f t="shared" si="9"/>
        <v>0</v>
      </c>
      <c r="Y19" s="731" t="str">
        <f t="shared" si="3"/>
        <v>-</v>
      </c>
      <c r="Z19" s="169"/>
      <c r="AA19" s="414">
        <v>0</v>
      </c>
      <c r="AB19" s="416">
        <f t="shared" si="10"/>
        <v>0</v>
      </c>
      <c r="AC19" s="731" t="str">
        <f t="shared" si="11"/>
        <v>-</v>
      </c>
      <c r="AD19" s="166"/>
      <c r="AE19" s="1178"/>
    </row>
    <row r="20" spans="1:33" x14ac:dyDescent="0.3">
      <c r="A20" s="172" t="s">
        <v>67</v>
      </c>
      <c r="B20" s="414">
        <v>0</v>
      </c>
      <c r="C20" s="415">
        <v>0</v>
      </c>
      <c r="D20" s="416">
        <f t="shared" si="4"/>
        <v>0</v>
      </c>
      <c r="E20" s="926" t="str">
        <f t="shared" si="5"/>
        <v>-</v>
      </c>
      <c r="F20" s="1162"/>
      <c r="G20" s="414">
        <v>0</v>
      </c>
      <c r="H20" s="415">
        <v>0</v>
      </c>
      <c r="I20" s="416">
        <f t="shared" si="6"/>
        <v>0</v>
      </c>
      <c r="J20" s="935" t="str">
        <f t="shared" si="0"/>
        <v>-</v>
      </c>
      <c r="K20" s="910"/>
      <c r="L20" s="567">
        <v>0</v>
      </c>
      <c r="M20" s="397">
        <v>0</v>
      </c>
      <c r="N20" s="416">
        <f t="shared" si="7"/>
        <v>0</v>
      </c>
      <c r="O20" s="731" t="str">
        <f t="shared" si="1"/>
        <v>-</v>
      </c>
      <c r="P20" s="166"/>
      <c r="Q20" s="417">
        <v>0</v>
      </c>
      <c r="R20" s="417">
        <v>0</v>
      </c>
      <c r="S20" s="416">
        <f t="shared" si="12"/>
        <v>0</v>
      </c>
      <c r="T20" s="766" t="str">
        <f t="shared" si="2"/>
        <v>-</v>
      </c>
      <c r="U20" s="782"/>
      <c r="V20" s="567">
        <f t="shared" si="8"/>
        <v>0</v>
      </c>
      <c r="W20" s="415">
        <f>C20+H20+M20+R20</f>
        <v>0</v>
      </c>
      <c r="X20" s="416">
        <f t="shared" si="9"/>
        <v>0</v>
      </c>
      <c r="Y20" s="731" t="str">
        <f t="shared" si="3"/>
        <v>-</v>
      </c>
      <c r="Z20" s="169"/>
      <c r="AA20" s="414">
        <v>0</v>
      </c>
      <c r="AB20" s="416">
        <f t="shared" si="10"/>
        <v>0</v>
      </c>
      <c r="AC20" s="731" t="str">
        <f t="shared" si="11"/>
        <v>-</v>
      </c>
      <c r="AD20" s="166"/>
      <c r="AE20" s="1178"/>
    </row>
    <row r="21" spans="1:33" x14ac:dyDescent="0.3">
      <c r="A21" s="164" t="s">
        <v>112</v>
      </c>
      <c r="B21" s="414">
        <v>0</v>
      </c>
      <c r="C21" s="415">
        <v>0</v>
      </c>
      <c r="D21" s="416">
        <f t="shared" si="4"/>
        <v>0</v>
      </c>
      <c r="E21" s="926" t="str">
        <f t="shared" si="5"/>
        <v>-</v>
      </c>
      <c r="F21" s="1162"/>
      <c r="G21" s="414">
        <v>0</v>
      </c>
      <c r="H21" s="415">
        <v>0</v>
      </c>
      <c r="I21" s="416">
        <f t="shared" si="6"/>
        <v>0</v>
      </c>
      <c r="J21" s="935" t="str">
        <f t="shared" si="0"/>
        <v>-</v>
      </c>
      <c r="K21" s="910"/>
      <c r="L21" s="567">
        <v>0</v>
      </c>
      <c r="M21" s="397">
        <v>0</v>
      </c>
      <c r="N21" s="416">
        <f t="shared" si="7"/>
        <v>0</v>
      </c>
      <c r="O21" s="731" t="str">
        <f t="shared" si="1"/>
        <v>-</v>
      </c>
      <c r="P21" s="166"/>
      <c r="Q21" s="417">
        <v>0</v>
      </c>
      <c r="R21" s="417">
        <v>0</v>
      </c>
      <c r="S21" s="416">
        <f t="shared" si="12"/>
        <v>0</v>
      </c>
      <c r="T21" s="766" t="str">
        <f t="shared" si="2"/>
        <v>-</v>
      </c>
      <c r="U21" s="782"/>
      <c r="V21" s="567">
        <f t="shared" si="8"/>
        <v>0</v>
      </c>
      <c r="W21" s="415">
        <f>C21+H21+M21+R21</f>
        <v>0</v>
      </c>
      <c r="X21" s="416">
        <f t="shared" si="9"/>
        <v>0</v>
      </c>
      <c r="Y21" s="731" t="str">
        <f t="shared" si="3"/>
        <v>-</v>
      </c>
      <c r="Z21" s="169"/>
      <c r="AA21" s="414">
        <v>430000</v>
      </c>
      <c r="AB21" s="416">
        <f t="shared" si="10"/>
        <v>430000</v>
      </c>
      <c r="AC21" s="731">
        <f t="shared" si="11"/>
        <v>1</v>
      </c>
      <c r="AD21" s="166"/>
      <c r="AE21" s="1178"/>
    </row>
    <row r="22" spans="1:33" x14ac:dyDescent="0.3">
      <c r="A22" s="170" t="s">
        <v>70</v>
      </c>
      <c r="B22" s="414">
        <v>0</v>
      </c>
      <c r="C22" s="415">
        <v>0</v>
      </c>
      <c r="D22" s="416">
        <f t="shared" si="4"/>
        <v>0</v>
      </c>
      <c r="E22" s="926" t="str">
        <f t="shared" si="5"/>
        <v>-</v>
      </c>
      <c r="F22" s="1162"/>
      <c r="G22" s="414">
        <v>0</v>
      </c>
      <c r="H22" s="415">
        <v>0</v>
      </c>
      <c r="I22" s="416">
        <f t="shared" si="6"/>
        <v>0</v>
      </c>
      <c r="J22" s="935" t="str">
        <f t="shared" si="0"/>
        <v>-</v>
      </c>
      <c r="K22" s="910"/>
      <c r="L22" s="567">
        <v>0</v>
      </c>
      <c r="M22" s="397">
        <v>0</v>
      </c>
      <c r="N22" s="416">
        <f t="shared" si="7"/>
        <v>0</v>
      </c>
      <c r="O22" s="731" t="str">
        <f t="shared" si="1"/>
        <v>-</v>
      </c>
      <c r="P22" s="166"/>
      <c r="Q22" s="417">
        <v>0</v>
      </c>
      <c r="R22" s="417">
        <v>0</v>
      </c>
      <c r="S22" s="416">
        <f t="shared" si="12"/>
        <v>0</v>
      </c>
      <c r="T22" s="766" t="str">
        <f t="shared" si="2"/>
        <v>-</v>
      </c>
      <c r="U22" s="782"/>
      <c r="V22" s="567">
        <f t="shared" si="8"/>
        <v>0</v>
      </c>
      <c r="W22" s="415">
        <f t="shared" si="8"/>
        <v>0</v>
      </c>
      <c r="X22" s="416">
        <f t="shared" si="9"/>
        <v>0</v>
      </c>
      <c r="Y22" s="731" t="str">
        <f t="shared" si="3"/>
        <v>-</v>
      </c>
      <c r="Z22" s="169"/>
      <c r="AA22" s="414">
        <v>0</v>
      </c>
      <c r="AB22" s="416">
        <f t="shared" si="10"/>
        <v>0</v>
      </c>
      <c r="AC22" s="731" t="str">
        <f t="shared" si="11"/>
        <v>-</v>
      </c>
      <c r="AD22" s="166"/>
      <c r="AE22" s="1178"/>
      <c r="AG22" s="173"/>
    </row>
    <row r="23" spans="1:33" x14ac:dyDescent="0.3">
      <c r="A23" s="170" t="s">
        <v>72</v>
      </c>
      <c r="B23" s="414">
        <v>0</v>
      </c>
      <c r="C23" s="415">
        <v>0</v>
      </c>
      <c r="D23" s="416">
        <f t="shared" si="4"/>
        <v>0</v>
      </c>
      <c r="E23" s="926" t="str">
        <f t="shared" si="5"/>
        <v>-</v>
      </c>
      <c r="F23" s="1162"/>
      <c r="G23" s="414">
        <v>0</v>
      </c>
      <c r="H23" s="415">
        <v>0</v>
      </c>
      <c r="I23" s="416">
        <f t="shared" si="6"/>
        <v>0</v>
      </c>
      <c r="J23" s="935" t="str">
        <f t="shared" si="0"/>
        <v>-</v>
      </c>
      <c r="K23" s="910"/>
      <c r="L23" s="567">
        <v>0</v>
      </c>
      <c r="M23" s="397">
        <v>0</v>
      </c>
      <c r="N23" s="416">
        <f t="shared" si="7"/>
        <v>0</v>
      </c>
      <c r="O23" s="731" t="str">
        <f t="shared" si="1"/>
        <v>-</v>
      </c>
      <c r="P23" s="166"/>
      <c r="Q23" s="417">
        <v>0</v>
      </c>
      <c r="R23" s="417">
        <v>0</v>
      </c>
      <c r="S23" s="416">
        <f t="shared" si="12"/>
        <v>0</v>
      </c>
      <c r="T23" s="766" t="str">
        <f t="shared" si="2"/>
        <v>-</v>
      </c>
      <c r="U23" s="782"/>
      <c r="V23" s="567">
        <f t="shared" si="8"/>
        <v>0</v>
      </c>
      <c r="W23" s="415">
        <f t="shared" si="8"/>
        <v>0</v>
      </c>
      <c r="X23" s="416">
        <f t="shared" si="9"/>
        <v>0</v>
      </c>
      <c r="Y23" s="731" t="str">
        <f t="shared" si="3"/>
        <v>-</v>
      </c>
      <c r="Z23" s="169"/>
      <c r="AA23" s="414">
        <v>0</v>
      </c>
      <c r="AB23" s="416">
        <f t="shared" si="10"/>
        <v>0</v>
      </c>
      <c r="AC23" s="731" t="str">
        <f t="shared" si="11"/>
        <v>-</v>
      </c>
      <c r="AD23" s="166"/>
      <c r="AE23" s="1179"/>
    </row>
    <row r="24" spans="1:33" ht="19.5" thickBot="1" x14ac:dyDescent="0.35">
      <c r="A24" s="170" t="s">
        <v>131</v>
      </c>
      <c r="B24" s="414">
        <v>0</v>
      </c>
      <c r="C24" s="415">
        <v>0</v>
      </c>
      <c r="D24" s="416">
        <f t="shared" si="4"/>
        <v>0</v>
      </c>
      <c r="E24" s="926" t="str">
        <f t="shared" si="5"/>
        <v>-</v>
      </c>
      <c r="F24" s="1162"/>
      <c r="G24" s="414">
        <v>0</v>
      </c>
      <c r="H24" s="415">
        <v>0</v>
      </c>
      <c r="I24" s="416">
        <f t="shared" si="6"/>
        <v>0</v>
      </c>
      <c r="J24" s="935" t="str">
        <f t="shared" si="0"/>
        <v>-</v>
      </c>
      <c r="K24" s="1166"/>
      <c r="L24" s="567">
        <v>0</v>
      </c>
      <c r="M24" s="397">
        <v>0</v>
      </c>
      <c r="N24" s="416">
        <f t="shared" si="7"/>
        <v>0</v>
      </c>
      <c r="O24" s="731" t="str">
        <f t="shared" si="1"/>
        <v>-</v>
      </c>
      <c r="P24" s="166"/>
      <c r="Q24" s="417">
        <v>0</v>
      </c>
      <c r="R24" s="417">
        <v>0</v>
      </c>
      <c r="S24" s="416">
        <f t="shared" si="12"/>
        <v>0</v>
      </c>
      <c r="T24" s="766" t="str">
        <f t="shared" si="2"/>
        <v>-</v>
      </c>
      <c r="U24" s="931"/>
      <c r="V24" s="567">
        <f>B24+G24+L24+Q24</f>
        <v>0</v>
      </c>
      <c r="W24" s="415">
        <f t="shared" si="8"/>
        <v>0</v>
      </c>
      <c r="X24" s="416">
        <f t="shared" si="9"/>
        <v>0</v>
      </c>
      <c r="Y24" s="929" t="str">
        <f t="shared" si="3"/>
        <v>-</v>
      </c>
      <c r="Z24" s="169"/>
      <c r="AA24" s="414">
        <v>0</v>
      </c>
      <c r="AB24" s="416">
        <f t="shared" si="10"/>
        <v>0</v>
      </c>
      <c r="AC24" s="731" t="str">
        <f t="shared" si="11"/>
        <v>-</v>
      </c>
      <c r="AD24" s="166"/>
      <c r="AE24" s="1178"/>
    </row>
    <row r="25" spans="1:33" x14ac:dyDescent="0.3">
      <c r="A25" s="174" t="s">
        <v>73</v>
      </c>
      <c r="B25" s="939">
        <f>SUM(B14:B24)</f>
        <v>437117</v>
      </c>
      <c r="C25" s="720">
        <f>SUM(C14:C24)</f>
        <v>257212</v>
      </c>
      <c r="D25" s="720">
        <f>SUM(D14:D24)</f>
        <v>-179905</v>
      </c>
      <c r="E25" s="937">
        <f t="shared" si="5"/>
        <v>-0.41157173022325833</v>
      </c>
      <c r="F25" s="938"/>
      <c r="G25" s="939">
        <f>SUM(G14:G24)</f>
        <v>437117</v>
      </c>
      <c r="H25" s="720">
        <f>SUM(H14:H24)</f>
        <v>286831</v>
      </c>
      <c r="I25" s="720">
        <f>SUM(I14:I24)</f>
        <v>-150286</v>
      </c>
      <c r="J25" s="1167">
        <f t="shared" si="0"/>
        <v>-0.34381183985065783</v>
      </c>
      <c r="K25" s="178"/>
      <c r="L25" s="719">
        <f>SUM(L14:L24)</f>
        <v>437117</v>
      </c>
      <c r="M25" s="1053">
        <f>SUM(M14:M24)</f>
        <v>186816</v>
      </c>
      <c r="N25" s="719">
        <f>SUM(N14:N24)</f>
        <v>-250301</v>
      </c>
      <c r="O25" s="940">
        <f t="shared" si="1"/>
        <v>-0.5726178574615034</v>
      </c>
      <c r="P25" s="938"/>
      <c r="Q25" s="939">
        <f>SUM(Q14:Q24)</f>
        <v>437117</v>
      </c>
      <c r="R25" s="941">
        <f>SUM(R14:R24)</f>
        <v>685548</v>
      </c>
      <c r="S25" s="719">
        <f>SUM(S14:S24)</f>
        <v>248431</v>
      </c>
      <c r="T25" s="942">
        <f t="shared" si="2"/>
        <v>0.56833982663680438</v>
      </c>
      <c r="U25" s="1172"/>
      <c r="V25" s="939">
        <f>SUM(V14:V24)</f>
        <v>1748468</v>
      </c>
      <c r="W25" s="720">
        <f>SUM(W14:W24)</f>
        <v>1416407</v>
      </c>
      <c r="X25" s="720">
        <f>SUM(X14:X24)</f>
        <v>-332061</v>
      </c>
      <c r="Y25" s="942">
        <f t="shared" si="3"/>
        <v>-0.18991540022465381</v>
      </c>
      <c r="Z25" s="943"/>
      <c r="AA25" s="944">
        <f>SUM(AA14:AA24)</f>
        <v>2178470</v>
      </c>
      <c r="AB25" s="945">
        <f>SUM(AB14:AB24)</f>
        <v>762063</v>
      </c>
      <c r="AC25" s="957">
        <f t="shared" si="11"/>
        <v>0.34981569633733767</v>
      </c>
      <c r="AD25" s="178"/>
      <c r="AE25" s="1181"/>
    </row>
    <row r="26" spans="1:33" x14ac:dyDescent="0.3">
      <c r="A26" s="184"/>
      <c r="B26" s="414"/>
      <c r="C26" s="415"/>
      <c r="D26" s="415"/>
      <c r="E26" s="225"/>
      <c r="F26" s="166"/>
      <c r="G26" s="426"/>
      <c r="H26" s="427"/>
      <c r="I26" s="427"/>
      <c r="J26" s="319"/>
      <c r="K26" s="166"/>
      <c r="L26" s="414"/>
      <c r="M26" s="605"/>
      <c r="N26" s="904"/>
      <c r="O26" s="199"/>
      <c r="P26" s="166"/>
      <c r="Q26" s="426"/>
      <c r="R26" s="427"/>
      <c r="S26" s="427"/>
      <c r="T26" s="197" t="str">
        <f t="shared" si="2"/>
        <v>-</v>
      </c>
      <c r="U26" s="782"/>
      <c r="V26" s="414"/>
      <c r="W26" s="415"/>
      <c r="X26" s="415"/>
      <c r="Y26" s="199"/>
      <c r="Z26" s="169"/>
      <c r="AA26" s="414"/>
      <c r="AB26" s="415"/>
      <c r="AC26" s="199"/>
      <c r="AD26" s="166"/>
      <c r="AE26" s="1178"/>
    </row>
    <row r="27" spans="1:33" x14ac:dyDescent="0.3">
      <c r="A27" s="158" t="s">
        <v>74</v>
      </c>
      <c r="B27" s="414">
        <v>0</v>
      </c>
      <c r="C27" s="415">
        <v>0</v>
      </c>
      <c r="D27" s="415">
        <f>C27-B27</f>
        <v>0</v>
      </c>
      <c r="E27" s="194" t="str">
        <f>IF(ISERROR(D27/B27),"-",D27/B27)</f>
        <v>-</v>
      </c>
      <c r="F27" s="166"/>
      <c r="G27" s="426">
        <v>0</v>
      </c>
      <c r="H27" s="427">
        <v>0</v>
      </c>
      <c r="I27" s="415">
        <f>H27-G27</f>
        <v>0</v>
      </c>
      <c r="J27" s="315" t="str">
        <f>IF(ISERROR(I27/G27),"-",I27/G27)</f>
        <v>-</v>
      </c>
      <c r="K27" s="166"/>
      <c r="L27" s="414">
        <v>0</v>
      </c>
      <c r="M27" s="605">
        <v>0</v>
      </c>
      <c r="N27" s="904">
        <f>M27-L27</f>
        <v>0</v>
      </c>
      <c r="O27" s="196" t="str">
        <f>IF(ISERROR(N27/L27),"-",N27/L27)</f>
        <v>-</v>
      </c>
      <c r="P27" s="166"/>
      <c r="Q27" s="426">
        <v>0</v>
      </c>
      <c r="R27" s="427">
        <v>0</v>
      </c>
      <c r="S27" s="415">
        <f>R27-Q27</f>
        <v>0</v>
      </c>
      <c r="T27" s="197" t="str">
        <f t="shared" si="2"/>
        <v>-</v>
      </c>
      <c r="U27" s="782"/>
      <c r="V27" s="414">
        <f>B27+G27+L27+Q27</f>
        <v>0</v>
      </c>
      <c r="W27" s="415">
        <f>C27+H27+M27+R27</f>
        <v>0</v>
      </c>
      <c r="X27" s="415">
        <f>W27-V27</f>
        <v>0</v>
      </c>
      <c r="Y27" s="199"/>
      <c r="Z27" s="169"/>
      <c r="AA27" s="414">
        <v>0</v>
      </c>
      <c r="AB27" s="415">
        <v>0</v>
      </c>
      <c r="AC27" s="199"/>
      <c r="AD27" s="166"/>
      <c r="AE27" s="1178"/>
    </row>
    <row r="28" spans="1:33" x14ac:dyDescent="0.3">
      <c r="A28" s="200"/>
      <c r="B28" s="428"/>
      <c r="C28" s="429"/>
      <c r="D28" s="429"/>
      <c r="E28" s="203"/>
      <c r="F28" s="160"/>
      <c r="G28" s="430"/>
      <c r="H28" s="431"/>
      <c r="I28" s="431"/>
      <c r="J28" s="316"/>
      <c r="K28" s="160"/>
      <c r="L28" s="428"/>
      <c r="M28" s="1054"/>
      <c r="N28" s="1061"/>
      <c r="O28" s="207"/>
      <c r="P28" s="160"/>
      <c r="Q28" s="430"/>
      <c r="R28" s="431"/>
      <c r="S28" s="431"/>
      <c r="T28" s="208" t="str">
        <f t="shared" si="2"/>
        <v>-</v>
      </c>
      <c r="U28" s="781"/>
      <c r="V28" s="428"/>
      <c r="W28" s="429"/>
      <c r="X28" s="429"/>
      <c r="Y28" s="207"/>
      <c r="Z28" s="163"/>
      <c r="AA28" s="428"/>
      <c r="AB28" s="429"/>
      <c r="AC28" s="207"/>
      <c r="AD28" s="160"/>
      <c r="AE28" s="1178"/>
    </row>
    <row r="29" spans="1:33" x14ac:dyDescent="0.3">
      <c r="A29" s="174" t="s">
        <v>75</v>
      </c>
      <c r="B29" s="432">
        <f>B25+B27</f>
        <v>437117</v>
      </c>
      <c r="C29" s="433">
        <f>C25+C27</f>
        <v>257212</v>
      </c>
      <c r="D29" s="433">
        <f>D25+D27</f>
        <v>-179905</v>
      </c>
      <c r="E29" s="211">
        <f>IF(ISERROR(D29/B29),"-",D29/B29)</f>
        <v>-0.41157173022325833</v>
      </c>
      <c r="F29" s="178"/>
      <c r="G29" s="432">
        <f>G25+G27</f>
        <v>437117</v>
      </c>
      <c r="H29" s="433">
        <f>H25+H27</f>
        <v>286831</v>
      </c>
      <c r="I29" s="433">
        <f>I25+I27</f>
        <v>-150286</v>
      </c>
      <c r="J29" s="317">
        <f>IF(ISERROR(I29/G29),"-",I29/G29)</f>
        <v>-0.34381183985065783</v>
      </c>
      <c r="K29" s="178"/>
      <c r="L29" s="432">
        <f>L25+L27</f>
        <v>437117</v>
      </c>
      <c r="M29" s="606">
        <f>M25+M27</f>
        <v>186816</v>
      </c>
      <c r="N29" s="607">
        <f>N25+N27</f>
        <v>-250301</v>
      </c>
      <c r="O29" s="212">
        <f>IF(ISERROR(N29/L29),"-",N29/L29)</f>
        <v>-0.5726178574615034</v>
      </c>
      <c r="P29" s="178"/>
      <c r="Q29" s="432">
        <f>Q25+Q27</f>
        <v>437117</v>
      </c>
      <c r="R29" s="433">
        <f>R25+R27</f>
        <v>685548</v>
      </c>
      <c r="S29" s="433">
        <f>S25+S27</f>
        <v>248431</v>
      </c>
      <c r="T29" s="212">
        <f t="shared" si="2"/>
        <v>0.56833982663680438</v>
      </c>
      <c r="U29" s="784"/>
      <c r="V29" s="432">
        <f>V25+V27</f>
        <v>1748468</v>
      </c>
      <c r="W29" s="433">
        <f>W25+W27</f>
        <v>1416407</v>
      </c>
      <c r="X29" s="433">
        <f>X25+X27</f>
        <v>-332061</v>
      </c>
      <c r="Y29" s="212">
        <f>IF(ISERROR(X29/V29),"-",X29/V29)</f>
        <v>-0.18991540022465381</v>
      </c>
      <c r="Z29" s="163"/>
      <c r="AA29" s="434">
        <f>AA25+AA27</f>
        <v>2178470</v>
      </c>
      <c r="AB29" s="435">
        <f>AA29-W29</f>
        <v>762063</v>
      </c>
      <c r="AC29" s="215">
        <f>IF(ISERROR(AB29/AA29),"-",AB29/AA29)</f>
        <v>0.34981569633733767</v>
      </c>
      <c r="AD29" s="178"/>
      <c r="AE29" s="1181"/>
    </row>
    <row r="30" spans="1:33" x14ac:dyDescent="0.3">
      <c r="A30" s="216"/>
      <c r="B30" s="436"/>
      <c r="C30" s="437"/>
      <c r="D30" s="437"/>
      <c r="E30" s="219"/>
      <c r="F30" s="160"/>
      <c r="G30" s="438"/>
      <c r="H30" s="439"/>
      <c r="I30" s="439"/>
      <c r="J30" s="318"/>
      <c r="K30" s="160"/>
      <c r="L30" s="436"/>
      <c r="M30" s="1055"/>
      <c r="N30" s="1062"/>
      <c r="O30" s="223"/>
      <c r="P30" s="160"/>
      <c r="Q30" s="438"/>
      <c r="R30" s="439"/>
      <c r="S30" s="439"/>
      <c r="T30" s="224"/>
      <c r="U30" s="781"/>
      <c r="V30" s="422"/>
      <c r="W30" s="423"/>
      <c r="X30" s="437"/>
      <c r="Y30" s="223"/>
      <c r="Z30" s="163"/>
      <c r="AA30" s="422"/>
      <c r="AB30" s="437"/>
      <c r="AC30" s="223"/>
      <c r="AD30" s="1168"/>
      <c r="AE30" s="1178"/>
    </row>
    <row r="31" spans="1:33" x14ac:dyDescent="0.3">
      <c r="A31" s="158" t="s">
        <v>76</v>
      </c>
      <c r="B31" s="414"/>
      <c r="C31" s="415"/>
      <c r="D31" s="415"/>
      <c r="E31" s="225"/>
      <c r="F31" s="166"/>
      <c r="G31" s="426"/>
      <c r="H31" s="427"/>
      <c r="I31" s="427"/>
      <c r="J31" s="319"/>
      <c r="K31" s="166"/>
      <c r="L31" s="414"/>
      <c r="M31" s="605"/>
      <c r="N31" s="904"/>
      <c r="O31" s="199"/>
      <c r="P31" s="166"/>
      <c r="Q31" s="426"/>
      <c r="R31" s="427"/>
      <c r="S31" s="427"/>
      <c r="T31" s="229"/>
      <c r="U31" s="782"/>
      <c r="V31" s="414"/>
      <c r="W31" s="415"/>
      <c r="X31" s="415"/>
      <c r="Y31" s="199"/>
      <c r="Z31" s="169"/>
      <c r="AA31" s="414"/>
      <c r="AB31" s="415"/>
      <c r="AC31" s="199"/>
      <c r="AD31" s="1162"/>
      <c r="AE31" s="1178"/>
    </row>
    <row r="32" spans="1:33" x14ac:dyDescent="0.3">
      <c r="A32" s="158" t="s">
        <v>77</v>
      </c>
      <c r="B32" s="414"/>
      <c r="C32" s="415"/>
      <c r="D32" s="415"/>
      <c r="E32" s="225"/>
      <c r="F32" s="166"/>
      <c r="G32" s="426"/>
      <c r="H32" s="427"/>
      <c r="I32" s="427"/>
      <c r="J32" s="319"/>
      <c r="K32" s="166"/>
      <c r="L32" s="414"/>
      <c r="M32" s="605"/>
      <c r="N32" s="904"/>
      <c r="O32" s="199"/>
      <c r="P32" s="166"/>
      <c r="Q32" s="426"/>
      <c r="R32" s="427"/>
      <c r="S32" s="427"/>
      <c r="T32" s="229"/>
      <c r="U32" s="782"/>
      <c r="V32" s="414"/>
      <c r="W32" s="415"/>
      <c r="X32" s="415"/>
      <c r="Y32" s="199"/>
      <c r="Z32" s="169"/>
      <c r="AA32" s="414"/>
      <c r="AB32" s="415"/>
      <c r="AC32" s="199"/>
      <c r="AD32" s="1162"/>
      <c r="AE32" s="1178"/>
    </row>
    <row r="33" spans="1:31" x14ac:dyDescent="0.3">
      <c r="A33" s="170" t="s">
        <v>78</v>
      </c>
      <c r="B33" s="414">
        <v>187644</v>
      </c>
      <c r="C33" s="415">
        <v>178134</v>
      </c>
      <c r="D33" s="416">
        <f t="shared" ref="D33:D40" si="13">C33-B33</f>
        <v>-9510</v>
      </c>
      <c r="E33" s="194">
        <f t="shared" ref="E33:E41" si="14">IF(ISERROR(D33/B33),"-",D33/B33)</f>
        <v>-5.0681076932915521E-2</v>
      </c>
      <c r="F33" s="171"/>
      <c r="G33" s="426">
        <v>187644</v>
      </c>
      <c r="H33" s="427">
        <v>178134</v>
      </c>
      <c r="I33" s="416">
        <f t="shared" ref="I33:I40" si="15">H33-G33</f>
        <v>-9510</v>
      </c>
      <c r="J33" s="315">
        <f>IF(ISERROR(I33/G33),"-",I33/G33)</f>
        <v>-5.0681076932915521E-2</v>
      </c>
      <c r="K33" s="171"/>
      <c r="L33" s="414">
        <v>187644</v>
      </c>
      <c r="M33" s="605">
        <v>176860</v>
      </c>
      <c r="N33" s="416">
        <f t="shared" ref="N33:N40" si="16">M33-L33</f>
        <v>-10784</v>
      </c>
      <c r="O33" s="196">
        <f t="shared" ref="O33:O41" si="17">IF(ISERROR(N33/L33),"-",N33/L33)</f>
        <v>-5.7470529300164143E-2</v>
      </c>
      <c r="P33" s="171"/>
      <c r="Q33" s="602">
        <v>187644</v>
      </c>
      <c r="R33" s="427">
        <v>178134</v>
      </c>
      <c r="S33" s="416">
        <f t="shared" ref="S33:S40" si="18">R33-Q33</f>
        <v>-9510</v>
      </c>
      <c r="T33" s="197">
        <f t="shared" ref="T33:T41" si="19">IF(ISERROR(S33/Q33),"-",S33/Q33)</f>
        <v>-5.0681076932915521E-2</v>
      </c>
      <c r="U33" s="783"/>
      <c r="V33" s="414">
        <f>B33+G33+L33+Q33</f>
        <v>750576</v>
      </c>
      <c r="W33" s="415">
        <f>C33+H33+M33+R33</f>
        <v>711262</v>
      </c>
      <c r="X33" s="416">
        <f>W33-V33</f>
        <v>-39314</v>
      </c>
      <c r="Y33" s="196">
        <f t="shared" ref="Y33:Y41" si="20">IF(ISERROR(X33/V33),"-",X33/V33)</f>
        <v>-5.2378440024727677E-2</v>
      </c>
      <c r="Z33" s="951"/>
      <c r="AA33" s="567">
        <v>750576</v>
      </c>
      <c r="AB33" s="415">
        <f>AA33-W33</f>
        <v>39314</v>
      </c>
      <c r="AC33" s="196">
        <f t="shared" ref="AC33:AC41" si="21">IF(ISERROR(AB33/AA33),"-",AB33/AA33)</f>
        <v>5.2378440024727677E-2</v>
      </c>
      <c r="AD33" s="1163"/>
      <c r="AE33" s="1179"/>
    </row>
    <row r="34" spans="1:31" x14ac:dyDescent="0.3">
      <c r="A34" s="170" t="s">
        <v>79</v>
      </c>
      <c r="B34" s="414">
        <v>3300</v>
      </c>
      <c r="C34" s="415">
        <v>3300</v>
      </c>
      <c r="D34" s="416">
        <f t="shared" si="13"/>
        <v>0</v>
      </c>
      <c r="E34" s="194">
        <f t="shared" si="14"/>
        <v>0</v>
      </c>
      <c r="F34" s="171"/>
      <c r="G34" s="426">
        <v>3300</v>
      </c>
      <c r="H34" s="427">
        <v>3300</v>
      </c>
      <c r="I34" s="416">
        <f t="shared" si="15"/>
        <v>0</v>
      </c>
      <c r="J34" s="315">
        <f t="shared" ref="J34:J41" si="22">IF(ISERROR(I34/G34),"-",I34/G34)</f>
        <v>0</v>
      </c>
      <c r="K34" s="171"/>
      <c r="L34" s="414">
        <v>3300</v>
      </c>
      <c r="M34" s="605">
        <v>3300</v>
      </c>
      <c r="N34" s="416">
        <f t="shared" si="16"/>
        <v>0</v>
      </c>
      <c r="O34" s="196">
        <f t="shared" si="17"/>
        <v>0</v>
      </c>
      <c r="P34" s="171"/>
      <c r="Q34" s="602">
        <v>3300</v>
      </c>
      <c r="R34" s="427">
        <v>3300</v>
      </c>
      <c r="S34" s="416">
        <f t="shared" si="18"/>
        <v>0</v>
      </c>
      <c r="T34" s="197">
        <f t="shared" si="19"/>
        <v>0</v>
      </c>
      <c r="U34" s="783"/>
      <c r="V34" s="414">
        <f t="shared" ref="V34:V40" si="23">B34+G34+L34+Q34</f>
        <v>13200</v>
      </c>
      <c r="W34" s="415">
        <f t="shared" ref="W34:W40" si="24">C34+H34+M34+R34</f>
        <v>13200</v>
      </c>
      <c r="X34" s="416">
        <f t="shared" ref="X34:X40" si="25">W34-V34</f>
        <v>0</v>
      </c>
      <c r="Y34" s="196">
        <f t="shared" si="20"/>
        <v>0</v>
      </c>
      <c r="Z34" s="951"/>
      <c r="AA34" s="567">
        <v>13200</v>
      </c>
      <c r="AB34" s="415">
        <f t="shared" ref="AB34:AB40" si="26">AA34-W34</f>
        <v>0</v>
      </c>
      <c r="AC34" s="196">
        <f t="shared" si="21"/>
        <v>0</v>
      </c>
      <c r="AD34" s="1163"/>
      <c r="AE34" s="1182"/>
    </row>
    <row r="35" spans="1:31" x14ac:dyDescent="0.3">
      <c r="A35" s="170" t="s">
        <v>81</v>
      </c>
      <c r="B35" s="414">
        <v>11259</v>
      </c>
      <c r="C35" s="415">
        <v>10640</v>
      </c>
      <c r="D35" s="416">
        <f t="shared" si="13"/>
        <v>-619</v>
      </c>
      <c r="E35" s="194">
        <f t="shared" si="14"/>
        <v>-5.497823963051781E-2</v>
      </c>
      <c r="F35" s="171"/>
      <c r="G35" s="426">
        <v>11259</v>
      </c>
      <c r="H35" s="427">
        <v>10240</v>
      </c>
      <c r="I35" s="416">
        <f t="shared" si="15"/>
        <v>-1019</v>
      </c>
      <c r="J35" s="315">
        <f t="shared" si="22"/>
        <v>-9.050537347899458E-2</v>
      </c>
      <c r="K35" s="171"/>
      <c r="L35" s="414">
        <v>11259</v>
      </c>
      <c r="M35" s="605">
        <v>9152</v>
      </c>
      <c r="N35" s="416">
        <f t="shared" si="16"/>
        <v>-2107</v>
      </c>
      <c r="O35" s="196">
        <f t="shared" si="17"/>
        <v>-0.18713917754685142</v>
      </c>
      <c r="P35" s="171"/>
      <c r="Q35" s="602">
        <v>11259</v>
      </c>
      <c r="R35" s="427">
        <v>342306</v>
      </c>
      <c r="S35" s="416">
        <f t="shared" si="18"/>
        <v>331047</v>
      </c>
      <c r="T35" s="197">
        <f t="shared" si="19"/>
        <v>29.402877697841728</v>
      </c>
      <c r="U35" s="783"/>
      <c r="V35" s="414">
        <f>B35+G35+L35+Q35</f>
        <v>45036</v>
      </c>
      <c r="W35" s="415">
        <f t="shared" si="24"/>
        <v>372338</v>
      </c>
      <c r="X35" s="416">
        <f t="shared" si="25"/>
        <v>327302</v>
      </c>
      <c r="Y35" s="196">
        <f t="shared" si="20"/>
        <v>7.2675637267963404</v>
      </c>
      <c r="Z35" s="951"/>
      <c r="AA35" s="567">
        <v>45034.559999999998</v>
      </c>
      <c r="AB35" s="415">
        <f t="shared" si="26"/>
        <v>-327303.44</v>
      </c>
      <c r="AC35" s="196">
        <f t="shared" si="21"/>
        <v>-7.2678280858078779</v>
      </c>
      <c r="AD35" s="1163"/>
      <c r="AE35" s="1179"/>
    </row>
    <row r="36" spans="1:31" x14ac:dyDescent="0.3">
      <c r="A36" s="170" t="s">
        <v>106</v>
      </c>
      <c r="B36" s="414">
        <v>8288</v>
      </c>
      <c r="C36" s="415">
        <v>7489</v>
      </c>
      <c r="D36" s="416">
        <f t="shared" si="13"/>
        <v>-799</v>
      </c>
      <c r="E36" s="194">
        <f t="shared" si="14"/>
        <v>-9.6404440154440149E-2</v>
      </c>
      <c r="F36" s="230"/>
      <c r="G36" s="426">
        <v>8288</v>
      </c>
      <c r="H36" s="427">
        <v>7838</v>
      </c>
      <c r="I36" s="416">
        <f t="shared" si="15"/>
        <v>-450</v>
      </c>
      <c r="J36" s="315">
        <f>IF(ISERROR(I36/G36),"-",I36/G36)</f>
        <v>-5.4295366795366798E-2</v>
      </c>
      <c r="K36" s="230"/>
      <c r="L36" s="414">
        <v>8288</v>
      </c>
      <c r="M36" s="605">
        <v>7765</v>
      </c>
      <c r="N36" s="416">
        <f t="shared" si="16"/>
        <v>-523</v>
      </c>
      <c r="O36" s="196">
        <f t="shared" si="17"/>
        <v>-6.3103281853281859E-2</v>
      </c>
      <c r="P36" s="230"/>
      <c r="Q36" s="602">
        <v>8288</v>
      </c>
      <c r="R36" s="427">
        <v>7765</v>
      </c>
      <c r="S36" s="416">
        <f t="shared" si="18"/>
        <v>-523</v>
      </c>
      <c r="T36" s="197">
        <f t="shared" si="19"/>
        <v>-6.3103281853281859E-2</v>
      </c>
      <c r="U36" s="785"/>
      <c r="V36" s="414">
        <f t="shared" si="23"/>
        <v>33152</v>
      </c>
      <c r="W36" s="415">
        <f t="shared" si="24"/>
        <v>30857</v>
      </c>
      <c r="X36" s="416">
        <f t="shared" si="25"/>
        <v>-2295</v>
      </c>
      <c r="Y36" s="196">
        <f t="shared" si="20"/>
        <v>-6.9226592664092659E-2</v>
      </c>
      <c r="Z36" s="953"/>
      <c r="AA36" s="567">
        <v>33152</v>
      </c>
      <c r="AB36" s="415">
        <f t="shared" si="26"/>
        <v>2295</v>
      </c>
      <c r="AC36" s="196">
        <f t="shared" si="21"/>
        <v>6.9226592664092659E-2</v>
      </c>
      <c r="AD36" s="1164"/>
      <c r="AE36" s="1178"/>
    </row>
    <row r="37" spans="1:31" x14ac:dyDescent="0.3">
      <c r="A37" s="170" t="s">
        <v>80</v>
      </c>
      <c r="B37" s="414">
        <v>900</v>
      </c>
      <c r="C37" s="415">
        <v>900</v>
      </c>
      <c r="D37" s="416">
        <f t="shared" si="13"/>
        <v>0</v>
      </c>
      <c r="E37" s="194">
        <f t="shared" si="14"/>
        <v>0</v>
      </c>
      <c r="F37" s="230"/>
      <c r="G37" s="426">
        <v>900</v>
      </c>
      <c r="H37" s="427">
        <v>1489</v>
      </c>
      <c r="I37" s="416">
        <f t="shared" si="15"/>
        <v>589</v>
      </c>
      <c r="J37" s="315">
        <f t="shared" si="22"/>
        <v>0.6544444444444445</v>
      </c>
      <c r="K37" s="230"/>
      <c r="L37" s="889">
        <v>900</v>
      </c>
      <c r="M37" s="891">
        <v>2352</v>
      </c>
      <c r="N37" s="416">
        <f t="shared" si="16"/>
        <v>1452</v>
      </c>
      <c r="O37" s="196">
        <f t="shared" si="17"/>
        <v>1.6133333333333333</v>
      </c>
      <c r="P37" s="230"/>
      <c r="Q37" s="602">
        <v>900</v>
      </c>
      <c r="R37" s="427">
        <v>3229</v>
      </c>
      <c r="S37" s="416">
        <f t="shared" si="18"/>
        <v>2329</v>
      </c>
      <c r="T37" s="197">
        <f t="shared" si="19"/>
        <v>2.5877777777777777</v>
      </c>
      <c r="U37" s="785"/>
      <c r="V37" s="414">
        <f t="shared" si="23"/>
        <v>3600</v>
      </c>
      <c r="W37" s="415">
        <f t="shared" si="24"/>
        <v>7970</v>
      </c>
      <c r="X37" s="416">
        <f t="shared" si="25"/>
        <v>4370</v>
      </c>
      <c r="Y37" s="196">
        <f t="shared" si="20"/>
        <v>1.2138888888888888</v>
      </c>
      <c r="Z37" s="953"/>
      <c r="AA37" s="567">
        <v>3600</v>
      </c>
      <c r="AB37" s="415">
        <f t="shared" si="26"/>
        <v>-4370</v>
      </c>
      <c r="AC37" s="196">
        <f t="shared" si="21"/>
        <v>-1.2138888888888888</v>
      </c>
      <c r="AD37" s="1164"/>
      <c r="AE37" s="1178"/>
    </row>
    <row r="38" spans="1:31" x14ac:dyDescent="0.3">
      <c r="A38" s="170" t="s">
        <v>130</v>
      </c>
      <c r="B38" s="414">
        <v>10656</v>
      </c>
      <c r="C38" s="415">
        <v>9324</v>
      </c>
      <c r="D38" s="416">
        <f t="shared" si="13"/>
        <v>-1332</v>
      </c>
      <c r="E38" s="194">
        <f t="shared" si="14"/>
        <v>-0.125</v>
      </c>
      <c r="F38" s="171"/>
      <c r="G38" s="426">
        <v>10656</v>
      </c>
      <c r="H38" s="427">
        <v>9324</v>
      </c>
      <c r="I38" s="416">
        <f t="shared" si="15"/>
        <v>-1332</v>
      </c>
      <c r="J38" s="315">
        <f t="shared" si="22"/>
        <v>-0.125</v>
      </c>
      <c r="K38" s="171"/>
      <c r="L38" s="889">
        <v>10656</v>
      </c>
      <c r="M38" s="891">
        <v>9324</v>
      </c>
      <c r="N38" s="416">
        <f t="shared" si="16"/>
        <v>-1332</v>
      </c>
      <c r="O38" s="196">
        <f t="shared" si="17"/>
        <v>-0.125</v>
      </c>
      <c r="P38" s="171"/>
      <c r="Q38" s="602">
        <v>10656</v>
      </c>
      <c r="R38" s="427">
        <v>9324</v>
      </c>
      <c r="S38" s="416">
        <f t="shared" si="18"/>
        <v>-1332</v>
      </c>
      <c r="T38" s="197">
        <f t="shared" si="19"/>
        <v>-0.125</v>
      </c>
      <c r="U38" s="783"/>
      <c r="V38" s="414">
        <f t="shared" si="23"/>
        <v>42624</v>
      </c>
      <c r="W38" s="415">
        <f t="shared" si="24"/>
        <v>37296</v>
      </c>
      <c r="X38" s="416">
        <f t="shared" si="25"/>
        <v>-5328</v>
      </c>
      <c r="Y38" s="196">
        <f t="shared" si="20"/>
        <v>-0.125</v>
      </c>
      <c r="Z38" s="951"/>
      <c r="AA38" s="567">
        <v>42624</v>
      </c>
      <c r="AB38" s="415">
        <f t="shared" si="26"/>
        <v>5328</v>
      </c>
      <c r="AC38" s="196">
        <f t="shared" si="21"/>
        <v>0.125</v>
      </c>
      <c r="AD38" s="1163"/>
      <c r="AE38" s="1179"/>
    </row>
    <row r="39" spans="1:31" x14ac:dyDescent="0.3">
      <c r="A39" s="170" t="s">
        <v>129</v>
      </c>
      <c r="B39" s="414">
        <v>67</v>
      </c>
      <c r="C39" s="415">
        <v>0</v>
      </c>
      <c r="D39" s="416">
        <f t="shared" si="13"/>
        <v>-67</v>
      </c>
      <c r="E39" s="194">
        <f t="shared" si="14"/>
        <v>-1</v>
      </c>
      <c r="F39" s="171"/>
      <c r="G39" s="426">
        <v>67</v>
      </c>
      <c r="H39" s="415">
        <v>0</v>
      </c>
      <c r="I39" s="416">
        <f t="shared" si="15"/>
        <v>-67</v>
      </c>
      <c r="J39" s="315">
        <f t="shared" si="22"/>
        <v>-1</v>
      </c>
      <c r="K39" s="171"/>
      <c r="L39" s="889">
        <v>67</v>
      </c>
      <c r="M39" s="891">
        <v>0</v>
      </c>
      <c r="N39" s="416">
        <f t="shared" si="16"/>
        <v>-67</v>
      </c>
      <c r="O39" s="196">
        <f t="shared" si="17"/>
        <v>-1</v>
      </c>
      <c r="P39" s="171"/>
      <c r="Q39" s="602">
        <v>67</v>
      </c>
      <c r="R39" s="427">
        <v>60732</v>
      </c>
      <c r="S39" s="416">
        <f t="shared" si="18"/>
        <v>60665</v>
      </c>
      <c r="T39" s="197">
        <f t="shared" si="19"/>
        <v>905.44776119402979</v>
      </c>
      <c r="U39" s="783"/>
      <c r="V39" s="414">
        <f t="shared" si="23"/>
        <v>268</v>
      </c>
      <c r="W39" s="415">
        <f t="shared" si="24"/>
        <v>60732</v>
      </c>
      <c r="X39" s="416">
        <f t="shared" si="25"/>
        <v>60464</v>
      </c>
      <c r="Y39" s="196">
        <f t="shared" si="20"/>
        <v>225.61194029850745</v>
      </c>
      <c r="Z39" s="951"/>
      <c r="AA39" s="567">
        <v>268</v>
      </c>
      <c r="AB39" s="415">
        <f t="shared" si="26"/>
        <v>-60464</v>
      </c>
      <c r="AC39" s="196">
        <f t="shared" si="21"/>
        <v>-225.61194029850745</v>
      </c>
      <c r="AD39" s="1163"/>
      <c r="AE39" s="1179"/>
    </row>
    <row r="40" spans="1:31" x14ac:dyDescent="0.3">
      <c r="A40" s="232" t="s">
        <v>40</v>
      </c>
      <c r="B40" s="414">
        <v>0</v>
      </c>
      <c r="C40" s="415">
        <v>0</v>
      </c>
      <c r="D40" s="416">
        <f t="shared" si="13"/>
        <v>0</v>
      </c>
      <c r="E40" s="233" t="str">
        <f t="shared" si="14"/>
        <v>-</v>
      </c>
      <c r="F40" s="166"/>
      <c r="G40" s="414">
        <v>0</v>
      </c>
      <c r="H40" s="415">
        <v>0</v>
      </c>
      <c r="I40" s="416">
        <f t="shared" si="15"/>
        <v>0</v>
      </c>
      <c r="J40" s="320" t="str">
        <f t="shared" si="22"/>
        <v>-</v>
      </c>
      <c r="K40" s="166"/>
      <c r="L40" s="889"/>
      <c r="M40" s="1056"/>
      <c r="N40" s="416">
        <f t="shared" si="16"/>
        <v>0</v>
      </c>
      <c r="O40" s="235" t="str">
        <f t="shared" si="17"/>
        <v>-</v>
      </c>
      <c r="P40" s="166"/>
      <c r="Q40" s="426">
        <v>0</v>
      </c>
      <c r="R40" s="427">
        <v>0</v>
      </c>
      <c r="S40" s="416">
        <f t="shared" si="18"/>
        <v>0</v>
      </c>
      <c r="T40" s="208" t="str">
        <f t="shared" si="19"/>
        <v>-</v>
      </c>
      <c r="U40" s="782"/>
      <c r="V40" s="414">
        <f t="shared" si="23"/>
        <v>0</v>
      </c>
      <c r="W40" s="415">
        <f t="shared" si="24"/>
        <v>0</v>
      </c>
      <c r="X40" s="416">
        <f t="shared" si="25"/>
        <v>0</v>
      </c>
      <c r="Y40" s="235" t="str">
        <f t="shared" si="20"/>
        <v>-</v>
      </c>
      <c r="Z40" s="951"/>
      <c r="AA40" s="567">
        <v>0</v>
      </c>
      <c r="AB40" s="441">
        <f t="shared" si="26"/>
        <v>0</v>
      </c>
      <c r="AC40" s="196" t="str">
        <f t="shared" si="21"/>
        <v>-</v>
      </c>
      <c r="AD40" s="1162"/>
      <c r="AE40" s="1179"/>
    </row>
    <row r="41" spans="1:31" x14ac:dyDescent="0.3">
      <c r="A41" s="174" t="s">
        <v>83</v>
      </c>
      <c r="B41" s="432">
        <f>SUM(B33:B40)</f>
        <v>222114</v>
      </c>
      <c r="C41" s="433">
        <f>SUM(C33:C40)</f>
        <v>209787</v>
      </c>
      <c r="D41" s="433">
        <f>SUM(D33:D40)</f>
        <v>-12327</v>
      </c>
      <c r="E41" s="211">
        <f t="shared" si="14"/>
        <v>-5.5498527783030334E-2</v>
      </c>
      <c r="F41" s="171"/>
      <c r="G41" s="432">
        <f>SUM(G33:G40)</f>
        <v>222114</v>
      </c>
      <c r="H41" s="433">
        <f>SUM(H33:H40)</f>
        <v>210325</v>
      </c>
      <c r="I41" s="433">
        <f>SUM(I33:I40)</f>
        <v>-11789</v>
      </c>
      <c r="J41" s="317">
        <f t="shared" si="22"/>
        <v>-5.3076348181564419E-2</v>
      </c>
      <c r="K41" s="171"/>
      <c r="L41" s="432">
        <f>SUM(L33:L40)</f>
        <v>222114</v>
      </c>
      <c r="M41" s="606">
        <f>SUM(M33:M40)</f>
        <v>208753</v>
      </c>
      <c r="N41" s="607">
        <f>SUM(N33:N40)</f>
        <v>-13361</v>
      </c>
      <c r="O41" s="212">
        <f t="shared" si="17"/>
        <v>-6.0153794898115384E-2</v>
      </c>
      <c r="P41" s="171"/>
      <c r="Q41" s="432">
        <f>SUM(Q33:Q40)</f>
        <v>222114</v>
      </c>
      <c r="R41" s="433">
        <f>SUM(R33:R40)</f>
        <v>604790</v>
      </c>
      <c r="S41" s="433">
        <f>SUM(S33:S40)</f>
        <v>382676</v>
      </c>
      <c r="T41" s="212">
        <f t="shared" si="19"/>
        <v>1.7228810430679742</v>
      </c>
      <c r="U41" s="783"/>
      <c r="V41" s="432">
        <f>SUM(V33:V40)</f>
        <v>888456</v>
      </c>
      <c r="W41" s="433">
        <f>SUM(W33:W40)</f>
        <v>1233655</v>
      </c>
      <c r="X41" s="433">
        <f>SUM(X33:X40)</f>
        <v>345199</v>
      </c>
      <c r="Y41" s="212">
        <f t="shared" si="20"/>
        <v>0.38853809305131598</v>
      </c>
      <c r="Z41" s="951"/>
      <c r="AA41" s="952">
        <f>SUM(AA33:AA40)</f>
        <v>888454.56</v>
      </c>
      <c r="AB41" s="435">
        <f>SUM(AB33:AB40)</f>
        <v>-345200.44</v>
      </c>
      <c r="AC41" s="238">
        <f t="shared" si="21"/>
        <v>-0.38854034358268136</v>
      </c>
      <c r="AD41" s="1163"/>
      <c r="AE41" s="1181"/>
    </row>
    <row r="42" spans="1:31" x14ac:dyDescent="0.3">
      <c r="A42" s="216"/>
      <c r="B42" s="422"/>
      <c r="C42" s="423"/>
      <c r="D42" s="423"/>
      <c r="E42" s="187"/>
      <c r="F42" s="166"/>
      <c r="G42" s="424"/>
      <c r="H42" s="425"/>
      <c r="I42" s="425"/>
      <c r="J42" s="314"/>
      <c r="K42" s="166"/>
      <c r="L42" s="422"/>
      <c r="M42" s="1057"/>
      <c r="N42" s="906"/>
      <c r="O42" s="191"/>
      <c r="P42" s="166"/>
      <c r="Q42" s="424"/>
      <c r="R42" s="425"/>
      <c r="S42" s="425"/>
      <c r="T42" s="239"/>
      <c r="U42" s="782"/>
      <c r="V42" s="422"/>
      <c r="W42" s="423"/>
      <c r="X42" s="423"/>
      <c r="Y42" s="191"/>
      <c r="Z42" s="169"/>
      <c r="AA42" s="422"/>
      <c r="AB42" s="423"/>
      <c r="AC42" s="191"/>
      <c r="AD42" s="1162"/>
      <c r="AE42" s="1178"/>
    </row>
    <row r="43" spans="1:31" x14ac:dyDescent="0.3">
      <c r="A43" s="158" t="s">
        <v>84</v>
      </c>
      <c r="B43" s="444"/>
      <c r="C43" s="445"/>
      <c r="D43" s="445"/>
      <c r="E43" s="242"/>
      <c r="F43" s="160"/>
      <c r="G43" s="446"/>
      <c r="H43" s="447"/>
      <c r="I43" s="447"/>
      <c r="J43" s="321"/>
      <c r="K43" s="160"/>
      <c r="L43" s="1045"/>
      <c r="M43" s="1052"/>
      <c r="N43" s="1048"/>
      <c r="O43" s="246"/>
      <c r="P43" s="160"/>
      <c r="Q43" s="446"/>
      <c r="R43" s="447"/>
      <c r="S43" s="447"/>
      <c r="T43" s="247"/>
      <c r="U43" s="781"/>
      <c r="V43" s="444"/>
      <c r="W43" s="445"/>
      <c r="X43" s="415"/>
      <c r="Y43" s="199"/>
      <c r="Z43" s="163"/>
      <c r="AA43" s="444"/>
      <c r="AB43" s="415"/>
      <c r="AC43" s="199"/>
      <c r="AD43" s="1168"/>
      <c r="AE43" s="1178"/>
    </row>
    <row r="44" spans="1:31" x14ac:dyDescent="0.3">
      <c r="A44" s="170" t="s">
        <v>85</v>
      </c>
      <c r="B44" s="414">
        <v>875</v>
      </c>
      <c r="C44" s="415">
        <v>1361</v>
      </c>
      <c r="D44" s="416">
        <f t="shared" ref="D44:D75" si="27">C44-B44</f>
        <v>486</v>
      </c>
      <c r="E44" s="194">
        <f t="shared" ref="E44:E75" si="28">IF(ISERROR(D44/B44),"-",D44/B44)</f>
        <v>0.55542857142857138</v>
      </c>
      <c r="F44" s="1163"/>
      <c r="G44" s="426">
        <v>875</v>
      </c>
      <c r="H44" s="427">
        <v>0</v>
      </c>
      <c r="I44" s="416">
        <f t="shared" ref="I44:I75" si="29">H44-G44</f>
        <v>-875</v>
      </c>
      <c r="J44" s="315">
        <f t="shared" ref="J44:J75" si="30">IF(ISERROR(I44/G44),"-",I44/G44)</f>
        <v>-1</v>
      </c>
      <c r="K44" s="171"/>
      <c r="L44" s="889">
        <v>875</v>
      </c>
      <c r="M44" s="891">
        <v>0</v>
      </c>
      <c r="N44" s="416">
        <f t="shared" ref="N44:N75" si="31">M44-L44</f>
        <v>-875</v>
      </c>
      <c r="O44" s="196">
        <f t="shared" ref="O44:O72" si="32">IF(ISERROR(N44/L44),"-",N44/L44)</f>
        <v>-1</v>
      </c>
      <c r="P44" s="783"/>
      <c r="Q44" s="602">
        <v>875</v>
      </c>
      <c r="R44" s="427">
        <v>1726</v>
      </c>
      <c r="S44" s="416">
        <f t="shared" ref="S44:S75" si="33">R44-Q44</f>
        <v>851</v>
      </c>
      <c r="T44" s="197">
        <f t="shared" ref="T44:T72" si="34">IF(ISERROR(S44/Q44),"-",S44/Q44)</f>
        <v>0.97257142857142853</v>
      </c>
      <c r="U44" s="783"/>
      <c r="V44" s="567">
        <f t="shared" ref="V44:V75" si="35">B44+G44+L44+Q44</f>
        <v>3500</v>
      </c>
      <c r="W44" s="415">
        <f>C44+H44+M44+R44</f>
        <v>3087</v>
      </c>
      <c r="X44" s="416">
        <f>W44-V44</f>
        <v>-413</v>
      </c>
      <c r="Y44" s="196">
        <f>IF(ISERROR(X44/V44),"-",X44/V44)</f>
        <v>-0.11799999999999999</v>
      </c>
      <c r="Z44" s="951"/>
      <c r="AA44" s="567">
        <v>3500</v>
      </c>
      <c r="AB44" s="415">
        <f>AA44-W44</f>
        <v>413</v>
      </c>
      <c r="AC44" s="196">
        <f t="shared" ref="AC44:AC76" si="36">IF(ISERROR(AB44/AA44),"-",AB44/AA44)</f>
        <v>0.11799999999999999</v>
      </c>
      <c r="AD44" s="1163"/>
      <c r="AE44" s="1183"/>
    </row>
    <row r="45" spans="1:31" x14ac:dyDescent="0.3">
      <c r="A45" s="170" t="s">
        <v>128</v>
      </c>
      <c r="B45" s="414">
        <v>37540.5</v>
      </c>
      <c r="C45" s="415">
        <v>58070</v>
      </c>
      <c r="D45" s="416">
        <f t="shared" si="27"/>
        <v>20529.5</v>
      </c>
      <c r="E45" s="194">
        <f>IF(ISERROR(D45/B45),"-",D45/B45)</f>
        <v>0.54686272159401184</v>
      </c>
      <c r="F45" s="1164"/>
      <c r="G45" s="426">
        <v>37540</v>
      </c>
      <c r="H45" s="427">
        <v>31798</v>
      </c>
      <c r="I45" s="416">
        <f t="shared" si="29"/>
        <v>-5742</v>
      </c>
      <c r="J45" s="315">
        <f t="shared" si="30"/>
        <v>-0.15295684603090037</v>
      </c>
      <c r="K45" s="230"/>
      <c r="L45" s="889">
        <v>37540</v>
      </c>
      <c r="M45" s="891">
        <v>7236</v>
      </c>
      <c r="N45" s="416">
        <f t="shared" si="31"/>
        <v>-30304</v>
      </c>
      <c r="O45" s="196">
        <f t="shared" si="32"/>
        <v>-0.8072456046883324</v>
      </c>
      <c r="P45" s="785"/>
      <c r="Q45" s="602">
        <v>37540</v>
      </c>
      <c r="R45" s="427">
        <v>9085</v>
      </c>
      <c r="S45" s="416">
        <f t="shared" si="33"/>
        <v>-28455</v>
      </c>
      <c r="T45" s="197">
        <f t="shared" si="34"/>
        <v>-0.75799147575919024</v>
      </c>
      <c r="U45" s="785"/>
      <c r="V45" s="567">
        <f t="shared" si="35"/>
        <v>150160.5</v>
      </c>
      <c r="W45" s="415">
        <f>C45+H45+M45+R45</f>
        <v>106189</v>
      </c>
      <c r="X45" s="416">
        <f t="shared" ref="X45:X75" si="37">W45-V45</f>
        <v>-43971.5</v>
      </c>
      <c r="Y45" s="196">
        <f t="shared" ref="Y45:Y75" si="38">IF(ISERROR(X45/V45),"-",X45/V45)</f>
        <v>-0.29283000522773966</v>
      </c>
      <c r="Z45" s="953"/>
      <c r="AA45" s="567">
        <v>150162</v>
      </c>
      <c r="AB45" s="415">
        <f t="shared" ref="AB45:AB75" si="39">AA45-W45</f>
        <v>43973</v>
      </c>
      <c r="AC45" s="196">
        <f t="shared" si="36"/>
        <v>0.29283706929849096</v>
      </c>
      <c r="AD45" s="1164"/>
      <c r="AE45" s="1178"/>
    </row>
    <row r="46" spans="1:31" x14ac:dyDescent="0.3">
      <c r="A46" s="170" t="s">
        <v>127</v>
      </c>
      <c r="B46" s="414">
        <v>61603</v>
      </c>
      <c r="C46" s="415">
        <v>0</v>
      </c>
      <c r="D46" s="416">
        <f t="shared" si="27"/>
        <v>-61603</v>
      </c>
      <c r="E46" s="194">
        <f t="shared" si="28"/>
        <v>-1</v>
      </c>
      <c r="F46" s="1164"/>
      <c r="G46" s="426">
        <v>61603</v>
      </c>
      <c r="H46" s="415">
        <v>0</v>
      </c>
      <c r="I46" s="416">
        <f t="shared" si="29"/>
        <v>-61603</v>
      </c>
      <c r="J46" s="315">
        <f t="shared" si="30"/>
        <v>-1</v>
      </c>
      <c r="K46" s="230"/>
      <c r="L46" s="889">
        <v>61603</v>
      </c>
      <c r="M46" s="891">
        <v>0</v>
      </c>
      <c r="N46" s="416">
        <f t="shared" si="31"/>
        <v>-61603</v>
      </c>
      <c r="O46" s="196">
        <f t="shared" si="32"/>
        <v>-1</v>
      </c>
      <c r="P46" s="785"/>
      <c r="Q46" s="602">
        <v>61603</v>
      </c>
      <c r="R46" s="427">
        <v>319778</v>
      </c>
      <c r="S46" s="416">
        <f t="shared" si="33"/>
        <v>258175</v>
      </c>
      <c r="T46" s="197">
        <f t="shared" si="34"/>
        <v>4.190948492768209</v>
      </c>
      <c r="U46" s="785"/>
      <c r="V46" s="567">
        <f t="shared" si="35"/>
        <v>246412</v>
      </c>
      <c r="W46" s="415">
        <f>C46+H46+M46+R46</f>
        <v>319778</v>
      </c>
      <c r="X46" s="416">
        <f t="shared" si="37"/>
        <v>73366</v>
      </c>
      <c r="Y46" s="196">
        <f t="shared" si="38"/>
        <v>0.29773712319205231</v>
      </c>
      <c r="Z46" s="953"/>
      <c r="AA46" s="567">
        <v>246413</v>
      </c>
      <c r="AB46" s="415">
        <f t="shared" si="39"/>
        <v>-73365</v>
      </c>
      <c r="AC46" s="196">
        <f t="shared" si="36"/>
        <v>-0.29773185667963947</v>
      </c>
      <c r="AD46" s="1164"/>
      <c r="AE46" s="1180"/>
    </row>
    <row r="47" spans="1:31" x14ac:dyDescent="0.3">
      <c r="A47" s="170" t="s">
        <v>86</v>
      </c>
      <c r="B47" s="414">
        <v>300</v>
      </c>
      <c r="C47" s="415">
        <v>340</v>
      </c>
      <c r="D47" s="416">
        <f t="shared" si="27"/>
        <v>40</v>
      </c>
      <c r="E47" s="194">
        <f t="shared" si="28"/>
        <v>0.13333333333333333</v>
      </c>
      <c r="F47" s="1164"/>
      <c r="G47" s="426">
        <v>300</v>
      </c>
      <c r="H47" s="427">
        <v>286</v>
      </c>
      <c r="I47" s="416">
        <f t="shared" si="29"/>
        <v>-14</v>
      </c>
      <c r="J47" s="315">
        <f t="shared" si="30"/>
        <v>-4.6666666666666669E-2</v>
      </c>
      <c r="K47" s="230"/>
      <c r="L47" s="889">
        <v>300</v>
      </c>
      <c r="M47" s="891">
        <v>194</v>
      </c>
      <c r="N47" s="416">
        <f t="shared" si="31"/>
        <v>-106</v>
      </c>
      <c r="O47" s="196">
        <f t="shared" si="32"/>
        <v>-0.35333333333333333</v>
      </c>
      <c r="P47" s="785"/>
      <c r="Q47" s="602">
        <v>300</v>
      </c>
      <c r="R47" s="427">
        <v>40</v>
      </c>
      <c r="S47" s="416">
        <f t="shared" si="33"/>
        <v>-260</v>
      </c>
      <c r="T47" s="197">
        <f t="shared" si="34"/>
        <v>-0.8666666666666667</v>
      </c>
      <c r="U47" s="785"/>
      <c r="V47" s="567">
        <f t="shared" si="35"/>
        <v>1200</v>
      </c>
      <c r="W47" s="415">
        <f t="shared" ref="W47:W75" si="40">C47+H47+M47+R47</f>
        <v>860</v>
      </c>
      <c r="X47" s="416">
        <f t="shared" si="37"/>
        <v>-340</v>
      </c>
      <c r="Y47" s="196">
        <f t="shared" si="38"/>
        <v>-0.28333333333333333</v>
      </c>
      <c r="Z47" s="953"/>
      <c r="AA47" s="567">
        <v>1200</v>
      </c>
      <c r="AB47" s="415">
        <f t="shared" si="39"/>
        <v>340</v>
      </c>
      <c r="AC47" s="196">
        <f t="shared" si="36"/>
        <v>0.28333333333333333</v>
      </c>
      <c r="AD47" s="1164"/>
      <c r="AE47" s="1183"/>
    </row>
    <row r="48" spans="1:31" x14ac:dyDescent="0.3">
      <c r="A48" s="170" t="s">
        <v>87</v>
      </c>
      <c r="B48" s="414">
        <v>0</v>
      </c>
      <c r="C48" s="415">
        <v>0</v>
      </c>
      <c r="D48" s="416">
        <f t="shared" si="27"/>
        <v>0</v>
      </c>
      <c r="E48" s="194" t="str">
        <f t="shared" si="28"/>
        <v>-</v>
      </c>
      <c r="F48" s="1164"/>
      <c r="G48" s="414">
        <v>0</v>
      </c>
      <c r="H48" s="415">
        <v>0</v>
      </c>
      <c r="I48" s="416">
        <f t="shared" si="29"/>
        <v>0</v>
      </c>
      <c r="J48" s="315" t="str">
        <f t="shared" si="30"/>
        <v>-</v>
      </c>
      <c r="K48" s="230"/>
      <c r="L48" s="889">
        <v>0</v>
      </c>
      <c r="M48" s="891">
        <v>0</v>
      </c>
      <c r="N48" s="416">
        <f t="shared" si="31"/>
        <v>0</v>
      </c>
      <c r="O48" s="196" t="str">
        <f t="shared" si="32"/>
        <v>-</v>
      </c>
      <c r="P48" s="785"/>
      <c r="Q48" s="602">
        <v>0</v>
      </c>
      <c r="R48" s="427">
        <v>0</v>
      </c>
      <c r="S48" s="416">
        <f t="shared" si="33"/>
        <v>0</v>
      </c>
      <c r="T48" s="197" t="str">
        <f t="shared" si="34"/>
        <v>-</v>
      </c>
      <c r="U48" s="785"/>
      <c r="V48" s="567">
        <f t="shared" si="35"/>
        <v>0</v>
      </c>
      <c r="W48" s="415">
        <f t="shared" si="40"/>
        <v>0</v>
      </c>
      <c r="X48" s="416">
        <f t="shared" si="37"/>
        <v>0</v>
      </c>
      <c r="Y48" s="196" t="str">
        <f t="shared" si="38"/>
        <v>-</v>
      </c>
      <c r="Z48" s="953"/>
      <c r="AA48" s="567">
        <v>0</v>
      </c>
      <c r="AB48" s="415">
        <f t="shared" si="39"/>
        <v>0</v>
      </c>
      <c r="AC48" s="196" t="str">
        <f t="shared" si="36"/>
        <v>-</v>
      </c>
      <c r="AD48" s="1164"/>
      <c r="AE48" s="1178"/>
    </row>
    <row r="49" spans="1:31" x14ac:dyDescent="0.3">
      <c r="A49" s="170" t="s">
        <v>88</v>
      </c>
      <c r="B49" s="414">
        <v>2865</v>
      </c>
      <c r="C49" s="415">
        <v>2476</v>
      </c>
      <c r="D49" s="416">
        <f t="shared" si="27"/>
        <v>-389</v>
      </c>
      <c r="E49" s="194">
        <f t="shared" si="28"/>
        <v>-0.13577661431064572</v>
      </c>
      <c r="F49" s="1163"/>
      <c r="G49" s="426">
        <v>2865</v>
      </c>
      <c r="H49" s="427">
        <v>2489</v>
      </c>
      <c r="I49" s="416">
        <f t="shared" si="29"/>
        <v>-376</v>
      </c>
      <c r="J49" s="315">
        <f t="shared" si="30"/>
        <v>-0.13123909249563701</v>
      </c>
      <c r="K49" s="171"/>
      <c r="L49" s="889">
        <v>2865</v>
      </c>
      <c r="M49" s="891">
        <v>2469</v>
      </c>
      <c r="N49" s="416">
        <f t="shared" si="31"/>
        <v>-396</v>
      </c>
      <c r="O49" s="196">
        <f t="shared" si="32"/>
        <v>-0.13821989528795811</v>
      </c>
      <c r="P49" s="783"/>
      <c r="Q49" s="602">
        <v>2865</v>
      </c>
      <c r="R49" s="427">
        <v>2428</v>
      </c>
      <c r="S49" s="416">
        <f t="shared" si="33"/>
        <v>-437</v>
      </c>
      <c r="T49" s="197">
        <f t="shared" si="34"/>
        <v>-0.15253054101221641</v>
      </c>
      <c r="U49" s="783"/>
      <c r="V49" s="567">
        <f t="shared" si="35"/>
        <v>11460</v>
      </c>
      <c r="W49" s="415">
        <f t="shared" si="40"/>
        <v>9862</v>
      </c>
      <c r="X49" s="416">
        <f t="shared" si="37"/>
        <v>-1598</v>
      </c>
      <c r="Y49" s="196">
        <f t="shared" si="38"/>
        <v>-0.13944153577661431</v>
      </c>
      <c r="Z49" s="951"/>
      <c r="AA49" s="567">
        <v>11460</v>
      </c>
      <c r="AB49" s="415">
        <f t="shared" si="39"/>
        <v>1598</v>
      </c>
      <c r="AC49" s="196">
        <f t="shared" si="36"/>
        <v>0.13944153577661431</v>
      </c>
      <c r="AD49" s="1163"/>
      <c r="AE49" s="1183"/>
    </row>
    <row r="50" spans="1:31" x14ac:dyDescent="0.3">
      <c r="A50" s="170" t="s">
        <v>89</v>
      </c>
      <c r="B50" s="414">
        <v>26750</v>
      </c>
      <c r="C50" s="415">
        <v>0</v>
      </c>
      <c r="D50" s="416">
        <f t="shared" si="27"/>
        <v>-26750</v>
      </c>
      <c r="E50" s="194">
        <f t="shared" si="28"/>
        <v>-1</v>
      </c>
      <c r="F50" s="1163"/>
      <c r="G50" s="426">
        <v>26750</v>
      </c>
      <c r="H50" s="427">
        <v>0</v>
      </c>
      <c r="I50" s="416">
        <f t="shared" si="29"/>
        <v>-26750</v>
      </c>
      <c r="J50" s="315">
        <f t="shared" si="30"/>
        <v>-1</v>
      </c>
      <c r="K50" s="171"/>
      <c r="L50" s="889">
        <v>26750</v>
      </c>
      <c r="M50" s="891">
        <v>74447.45</v>
      </c>
      <c r="N50" s="416">
        <f t="shared" si="31"/>
        <v>47697.45</v>
      </c>
      <c r="O50" s="196">
        <f t="shared" si="32"/>
        <v>1.7830822429906541</v>
      </c>
      <c r="P50" s="783"/>
      <c r="Q50" s="602">
        <v>26750</v>
      </c>
      <c r="R50" s="427">
        <v>33269</v>
      </c>
      <c r="S50" s="416">
        <f t="shared" si="33"/>
        <v>6519</v>
      </c>
      <c r="T50" s="197">
        <f t="shared" si="34"/>
        <v>0.24370093457943925</v>
      </c>
      <c r="U50" s="783"/>
      <c r="V50" s="567">
        <f t="shared" si="35"/>
        <v>107000</v>
      </c>
      <c r="W50" s="415">
        <f t="shared" si="40"/>
        <v>107716.45</v>
      </c>
      <c r="X50" s="416">
        <f t="shared" si="37"/>
        <v>716.44999999999709</v>
      </c>
      <c r="Y50" s="196">
        <f t="shared" si="38"/>
        <v>6.6957943925233373E-3</v>
      </c>
      <c r="Z50" s="951"/>
      <c r="AA50" s="567">
        <v>107000</v>
      </c>
      <c r="AB50" s="415">
        <f t="shared" si="39"/>
        <v>-716.44999999999709</v>
      </c>
      <c r="AC50" s="196">
        <f t="shared" si="36"/>
        <v>-6.6957943925233373E-3</v>
      </c>
      <c r="AD50" s="1163"/>
      <c r="AE50" s="1184"/>
    </row>
    <row r="51" spans="1:31" x14ac:dyDescent="0.3">
      <c r="A51" s="170" t="s">
        <v>113</v>
      </c>
      <c r="B51" s="414">
        <v>2946</v>
      </c>
      <c r="C51" s="415">
        <v>3564</v>
      </c>
      <c r="D51" s="416">
        <f t="shared" si="27"/>
        <v>618</v>
      </c>
      <c r="E51" s="194">
        <f t="shared" si="28"/>
        <v>0.20977596741344195</v>
      </c>
      <c r="F51" s="1163"/>
      <c r="G51" s="426">
        <v>2946</v>
      </c>
      <c r="H51" s="427">
        <v>3153</v>
      </c>
      <c r="I51" s="416">
        <f t="shared" si="29"/>
        <v>207</v>
      </c>
      <c r="J51" s="315"/>
      <c r="K51" s="171"/>
      <c r="L51" s="889">
        <v>2946</v>
      </c>
      <c r="M51" s="891">
        <v>2741</v>
      </c>
      <c r="N51" s="416">
        <f t="shared" si="31"/>
        <v>-205</v>
      </c>
      <c r="O51" s="196"/>
      <c r="P51" s="783"/>
      <c r="Q51" s="602">
        <v>2946</v>
      </c>
      <c r="R51" s="427">
        <v>2329</v>
      </c>
      <c r="S51" s="416">
        <f t="shared" si="33"/>
        <v>-617</v>
      </c>
      <c r="T51" s="197"/>
      <c r="U51" s="783"/>
      <c r="V51" s="567">
        <f t="shared" si="35"/>
        <v>11784</v>
      </c>
      <c r="W51" s="415">
        <f t="shared" si="40"/>
        <v>11787</v>
      </c>
      <c r="X51" s="416">
        <f t="shared" si="37"/>
        <v>3</v>
      </c>
      <c r="Y51" s="196">
        <f t="shared" si="38"/>
        <v>2.5458248472505089E-4</v>
      </c>
      <c r="Z51" s="951"/>
      <c r="AA51" s="567">
        <v>11786</v>
      </c>
      <c r="AB51" s="415">
        <f t="shared" si="39"/>
        <v>-1</v>
      </c>
      <c r="AC51" s="196">
        <f t="shared" si="36"/>
        <v>-8.4846427965382663E-5</v>
      </c>
      <c r="AD51" s="1163"/>
      <c r="AE51" s="1183"/>
    </row>
    <row r="52" spans="1:31" x14ac:dyDescent="0.3">
      <c r="A52" s="170" t="s">
        <v>126</v>
      </c>
      <c r="B52" s="414">
        <v>14224</v>
      </c>
      <c r="C52" s="415">
        <v>14224</v>
      </c>
      <c r="D52" s="416">
        <f t="shared" si="27"/>
        <v>0</v>
      </c>
      <c r="E52" s="194">
        <f t="shared" si="28"/>
        <v>0</v>
      </c>
      <c r="F52" s="1164"/>
      <c r="G52" s="426">
        <v>14224</v>
      </c>
      <c r="H52" s="427">
        <v>14294</v>
      </c>
      <c r="I52" s="416">
        <f t="shared" si="29"/>
        <v>70</v>
      </c>
      <c r="J52" s="315">
        <f t="shared" si="30"/>
        <v>4.921259842519685E-3</v>
      </c>
      <c r="K52" s="230"/>
      <c r="L52" s="889">
        <v>14224</v>
      </c>
      <c r="M52" s="891">
        <v>14355</v>
      </c>
      <c r="N52" s="416">
        <f t="shared" si="31"/>
        <v>131</v>
      </c>
      <c r="O52" s="196">
        <f t="shared" si="32"/>
        <v>9.2097862767154103E-3</v>
      </c>
      <c r="P52" s="785"/>
      <c r="Q52" s="602">
        <v>14224</v>
      </c>
      <c r="R52" s="427">
        <v>14375</v>
      </c>
      <c r="S52" s="416">
        <f t="shared" si="33"/>
        <v>151</v>
      </c>
      <c r="T52" s="197">
        <f t="shared" si="34"/>
        <v>1.061586051743532E-2</v>
      </c>
      <c r="U52" s="785"/>
      <c r="V52" s="567">
        <f t="shared" si="35"/>
        <v>56896</v>
      </c>
      <c r="W52" s="415">
        <f t="shared" si="40"/>
        <v>57248</v>
      </c>
      <c r="X52" s="416">
        <f t="shared" si="37"/>
        <v>352</v>
      </c>
      <c r="Y52" s="196">
        <f t="shared" si="38"/>
        <v>6.1867266591676042E-3</v>
      </c>
      <c r="Z52" s="953"/>
      <c r="AA52" s="567">
        <v>56895</v>
      </c>
      <c r="AB52" s="415">
        <f t="shared" si="39"/>
        <v>-353</v>
      </c>
      <c r="AC52" s="196">
        <f t="shared" si="36"/>
        <v>-6.2044116354688459E-3</v>
      </c>
      <c r="AD52" s="1164"/>
      <c r="AE52" s="1185"/>
    </row>
    <row r="53" spans="1:31" ht="19.5" thickBot="1" x14ac:dyDescent="0.35">
      <c r="A53" s="170" t="s">
        <v>82</v>
      </c>
      <c r="B53" s="414">
        <v>29700</v>
      </c>
      <c r="C53" s="415">
        <v>29700</v>
      </c>
      <c r="D53" s="416">
        <f t="shared" si="27"/>
        <v>0</v>
      </c>
      <c r="E53" s="194">
        <f t="shared" si="28"/>
        <v>0</v>
      </c>
      <c r="F53" s="1164"/>
      <c r="G53" s="426">
        <v>29700</v>
      </c>
      <c r="H53" s="427">
        <v>29700</v>
      </c>
      <c r="I53" s="416">
        <f t="shared" si="29"/>
        <v>0</v>
      </c>
      <c r="J53" s="315">
        <f t="shared" si="30"/>
        <v>0</v>
      </c>
      <c r="K53" s="230"/>
      <c r="L53" s="889">
        <v>29700</v>
      </c>
      <c r="M53" s="891">
        <v>29700</v>
      </c>
      <c r="N53" s="416">
        <f t="shared" si="31"/>
        <v>0</v>
      </c>
      <c r="O53" s="196">
        <f t="shared" si="32"/>
        <v>0</v>
      </c>
      <c r="P53" s="785"/>
      <c r="Q53" s="602">
        <v>29700</v>
      </c>
      <c r="R53" s="427">
        <v>29700</v>
      </c>
      <c r="S53" s="416">
        <f t="shared" si="33"/>
        <v>0</v>
      </c>
      <c r="T53" s="197">
        <f t="shared" si="34"/>
        <v>0</v>
      </c>
      <c r="U53" s="785"/>
      <c r="V53" s="567">
        <f t="shared" si="35"/>
        <v>118800</v>
      </c>
      <c r="W53" s="415">
        <f t="shared" si="40"/>
        <v>118800</v>
      </c>
      <c r="X53" s="416">
        <f t="shared" si="37"/>
        <v>0</v>
      </c>
      <c r="Y53" s="196">
        <f t="shared" si="38"/>
        <v>0</v>
      </c>
      <c r="Z53" s="953"/>
      <c r="AA53" s="567">
        <v>118800</v>
      </c>
      <c r="AB53" s="415">
        <f t="shared" si="39"/>
        <v>0</v>
      </c>
      <c r="AC53" s="196">
        <f t="shared" si="36"/>
        <v>0</v>
      </c>
      <c r="AD53" s="1164"/>
      <c r="AE53" s="1179"/>
    </row>
    <row r="54" spans="1:31" x14ac:dyDescent="0.3">
      <c r="A54" s="170" t="s">
        <v>125</v>
      </c>
      <c r="B54" s="414">
        <v>0</v>
      </c>
      <c r="C54" s="415">
        <v>0</v>
      </c>
      <c r="D54" s="416">
        <f t="shared" si="27"/>
        <v>0</v>
      </c>
      <c r="E54" s="194" t="str">
        <f t="shared" si="28"/>
        <v>-</v>
      </c>
      <c r="F54" s="1164"/>
      <c r="G54" s="414">
        <v>0</v>
      </c>
      <c r="H54" s="415">
        <v>0</v>
      </c>
      <c r="I54" s="416">
        <f t="shared" si="29"/>
        <v>0</v>
      </c>
      <c r="J54" s="315" t="str">
        <f t="shared" si="30"/>
        <v>-</v>
      </c>
      <c r="K54" s="230"/>
      <c r="L54" s="889">
        <v>0</v>
      </c>
      <c r="M54" s="889">
        <v>0</v>
      </c>
      <c r="N54" s="416">
        <f t="shared" si="31"/>
        <v>0</v>
      </c>
      <c r="O54" s="196" t="str">
        <f t="shared" si="32"/>
        <v>-</v>
      </c>
      <c r="P54" s="785"/>
      <c r="Q54" s="602">
        <v>0</v>
      </c>
      <c r="R54" s="427">
        <v>0</v>
      </c>
      <c r="S54" s="416">
        <f t="shared" si="33"/>
        <v>0</v>
      </c>
      <c r="T54" s="197" t="str">
        <f t="shared" si="34"/>
        <v>-</v>
      </c>
      <c r="U54" s="948"/>
      <c r="V54" s="567">
        <f t="shared" si="35"/>
        <v>0</v>
      </c>
      <c r="W54" s="415">
        <f t="shared" si="40"/>
        <v>0</v>
      </c>
      <c r="X54" s="416">
        <f t="shared" si="37"/>
        <v>0</v>
      </c>
      <c r="Y54" s="196" t="str">
        <f t="shared" si="38"/>
        <v>-</v>
      </c>
      <c r="Z54" s="953"/>
      <c r="AA54" s="567">
        <v>0</v>
      </c>
      <c r="AB54" s="415">
        <f t="shared" si="39"/>
        <v>0</v>
      </c>
      <c r="AC54" s="196" t="str">
        <f t="shared" si="36"/>
        <v>-</v>
      </c>
      <c r="AD54" s="1164"/>
      <c r="AE54" s="1179"/>
    </row>
    <row r="55" spans="1:31" x14ac:dyDescent="0.3">
      <c r="A55" s="170" t="s">
        <v>90</v>
      </c>
      <c r="B55" s="414">
        <v>0</v>
      </c>
      <c r="C55" s="415">
        <v>0</v>
      </c>
      <c r="D55" s="416">
        <f t="shared" si="27"/>
        <v>0</v>
      </c>
      <c r="E55" s="194" t="str">
        <f t="shared" si="28"/>
        <v>-</v>
      </c>
      <c r="F55" s="1164"/>
      <c r="G55" s="414">
        <v>0</v>
      </c>
      <c r="H55" s="415">
        <v>0</v>
      </c>
      <c r="I55" s="416">
        <f t="shared" si="29"/>
        <v>0</v>
      </c>
      <c r="J55" s="315" t="str">
        <f t="shared" si="30"/>
        <v>-</v>
      </c>
      <c r="K55" s="230"/>
      <c r="L55" s="889">
        <v>0</v>
      </c>
      <c r="M55" s="889">
        <v>0</v>
      </c>
      <c r="N55" s="416">
        <f t="shared" si="31"/>
        <v>0</v>
      </c>
      <c r="O55" s="196" t="str">
        <f t="shared" si="32"/>
        <v>-</v>
      </c>
      <c r="P55" s="785"/>
      <c r="Q55" s="602">
        <v>0</v>
      </c>
      <c r="R55" s="427">
        <v>0</v>
      </c>
      <c r="S55" s="416">
        <f t="shared" si="33"/>
        <v>0</v>
      </c>
      <c r="T55" s="197" t="str">
        <f t="shared" si="34"/>
        <v>-</v>
      </c>
      <c r="U55" s="785"/>
      <c r="V55" s="567">
        <f t="shared" si="35"/>
        <v>0</v>
      </c>
      <c r="W55" s="415">
        <f t="shared" si="40"/>
        <v>0</v>
      </c>
      <c r="X55" s="416">
        <f t="shared" si="37"/>
        <v>0</v>
      </c>
      <c r="Y55" s="196" t="str">
        <f t="shared" si="38"/>
        <v>-</v>
      </c>
      <c r="Z55" s="953"/>
      <c r="AA55" s="567">
        <v>0</v>
      </c>
      <c r="AB55" s="415">
        <f t="shared" si="39"/>
        <v>0</v>
      </c>
      <c r="AC55" s="196" t="str">
        <f t="shared" si="36"/>
        <v>-</v>
      </c>
      <c r="AD55" s="1164"/>
      <c r="AE55" s="1179"/>
    </row>
    <row r="56" spans="1:31" x14ac:dyDescent="0.3">
      <c r="A56" s="170" t="s">
        <v>91</v>
      </c>
      <c r="B56" s="414">
        <v>2775</v>
      </c>
      <c r="C56" s="415">
        <v>853</v>
      </c>
      <c r="D56" s="416">
        <f t="shared" si="27"/>
        <v>-1922</v>
      </c>
      <c r="E56" s="194">
        <f t="shared" si="28"/>
        <v>-0.69261261261261264</v>
      </c>
      <c r="F56" s="1164"/>
      <c r="G56" s="426">
        <v>2775</v>
      </c>
      <c r="H56" s="427">
        <v>1859</v>
      </c>
      <c r="I56" s="416">
        <f t="shared" si="29"/>
        <v>-916</v>
      </c>
      <c r="J56" s="315">
        <f t="shared" si="30"/>
        <v>-0.3300900900900901</v>
      </c>
      <c r="K56" s="230"/>
      <c r="L56" s="889">
        <v>2775</v>
      </c>
      <c r="M56" s="891">
        <v>0</v>
      </c>
      <c r="N56" s="416">
        <f t="shared" si="31"/>
        <v>-2775</v>
      </c>
      <c r="O56" s="196">
        <f t="shared" si="32"/>
        <v>-1</v>
      </c>
      <c r="P56" s="785"/>
      <c r="Q56" s="602">
        <v>2775</v>
      </c>
      <c r="R56" s="427">
        <v>2297</v>
      </c>
      <c r="S56" s="416">
        <f t="shared" si="33"/>
        <v>-478</v>
      </c>
      <c r="T56" s="197">
        <f t="shared" si="34"/>
        <v>-0.17225225225225224</v>
      </c>
      <c r="U56" s="785"/>
      <c r="V56" s="567">
        <f t="shared" si="35"/>
        <v>11100</v>
      </c>
      <c r="W56" s="415">
        <f t="shared" si="40"/>
        <v>5009</v>
      </c>
      <c r="X56" s="416">
        <f t="shared" si="37"/>
        <v>-6091</v>
      </c>
      <c r="Y56" s="196">
        <f t="shared" si="38"/>
        <v>-0.54873873873873869</v>
      </c>
      <c r="Z56" s="953"/>
      <c r="AA56" s="567">
        <v>11100</v>
      </c>
      <c r="AB56" s="415">
        <f t="shared" si="39"/>
        <v>6091</v>
      </c>
      <c r="AC56" s="196">
        <f t="shared" si="36"/>
        <v>0.54873873873873869</v>
      </c>
      <c r="AD56" s="1164"/>
      <c r="AE56" s="1178"/>
    </row>
    <row r="57" spans="1:31" x14ac:dyDescent="0.3">
      <c r="A57" s="170" t="s">
        <v>92</v>
      </c>
      <c r="B57" s="414">
        <v>944</v>
      </c>
      <c r="C57" s="415">
        <v>0</v>
      </c>
      <c r="D57" s="416">
        <f t="shared" si="27"/>
        <v>-944</v>
      </c>
      <c r="E57" s="194">
        <f t="shared" si="28"/>
        <v>-1</v>
      </c>
      <c r="F57" s="1164"/>
      <c r="G57" s="426">
        <v>944</v>
      </c>
      <c r="H57" s="415">
        <v>0</v>
      </c>
      <c r="I57" s="416">
        <f t="shared" si="29"/>
        <v>-944</v>
      </c>
      <c r="J57" s="315">
        <f t="shared" si="30"/>
        <v>-1</v>
      </c>
      <c r="K57" s="230"/>
      <c r="L57" s="889">
        <v>944</v>
      </c>
      <c r="M57" s="891">
        <v>3425.38</v>
      </c>
      <c r="N57" s="416">
        <f t="shared" si="31"/>
        <v>2481.38</v>
      </c>
      <c r="O57" s="196">
        <f t="shared" si="32"/>
        <v>2.6285805084745766</v>
      </c>
      <c r="P57" s="785"/>
      <c r="Q57" s="602">
        <v>944</v>
      </c>
      <c r="R57" s="427">
        <v>0</v>
      </c>
      <c r="S57" s="416">
        <f t="shared" si="33"/>
        <v>-944</v>
      </c>
      <c r="T57" s="197">
        <f t="shared" si="34"/>
        <v>-1</v>
      </c>
      <c r="U57" s="785"/>
      <c r="V57" s="567">
        <f t="shared" si="35"/>
        <v>3776</v>
      </c>
      <c r="W57" s="415">
        <f t="shared" si="40"/>
        <v>3425.38</v>
      </c>
      <c r="X57" s="416">
        <f t="shared" si="37"/>
        <v>-350.61999999999989</v>
      </c>
      <c r="Y57" s="196">
        <f t="shared" si="38"/>
        <v>-9.285487288135591E-2</v>
      </c>
      <c r="Z57" s="953"/>
      <c r="AA57" s="567">
        <v>3775</v>
      </c>
      <c r="AB57" s="415">
        <f t="shared" si="39"/>
        <v>349.61999999999989</v>
      </c>
      <c r="AC57" s="196">
        <f t="shared" si="36"/>
        <v>9.2614569536423816E-2</v>
      </c>
      <c r="AD57" s="1164"/>
      <c r="AE57" s="1180"/>
    </row>
    <row r="58" spans="1:31" x14ac:dyDescent="0.3">
      <c r="A58" s="170" t="s">
        <v>93</v>
      </c>
      <c r="B58" s="414">
        <v>250</v>
      </c>
      <c r="C58" s="415">
        <v>0</v>
      </c>
      <c r="D58" s="416">
        <f t="shared" si="27"/>
        <v>-250</v>
      </c>
      <c r="E58" s="194">
        <f t="shared" si="28"/>
        <v>-1</v>
      </c>
      <c r="F58" s="1164"/>
      <c r="G58" s="426">
        <v>250</v>
      </c>
      <c r="H58" s="415">
        <v>0</v>
      </c>
      <c r="I58" s="416">
        <f t="shared" si="29"/>
        <v>-250</v>
      </c>
      <c r="J58" s="315">
        <f t="shared" si="30"/>
        <v>-1</v>
      </c>
      <c r="K58" s="230"/>
      <c r="L58" s="889">
        <v>250</v>
      </c>
      <c r="M58" s="891">
        <v>0</v>
      </c>
      <c r="N58" s="416">
        <f t="shared" si="31"/>
        <v>-250</v>
      </c>
      <c r="O58" s="196">
        <f t="shared" si="32"/>
        <v>-1</v>
      </c>
      <c r="P58" s="785"/>
      <c r="Q58" s="602">
        <v>250</v>
      </c>
      <c r="R58" s="427">
        <v>0</v>
      </c>
      <c r="S58" s="416">
        <f t="shared" si="33"/>
        <v>-250</v>
      </c>
      <c r="T58" s="197">
        <f t="shared" si="34"/>
        <v>-1</v>
      </c>
      <c r="U58" s="785"/>
      <c r="V58" s="567">
        <f t="shared" si="35"/>
        <v>1000</v>
      </c>
      <c r="W58" s="415">
        <f t="shared" si="40"/>
        <v>0</v>
      </c>
      <c r="X58" s="416">
        <f t="shared" si="37"/>
        <v>-1000</v>
      </c>
      <c r="Y58" s="196">
        <f t="shared" si="38"/>
        <v>-1</v>
      </c>
      <c r="Z58" s="953"/>
      <c r="AA58" s="567">
        <v>1000</v>
      </c>
      <c r="AB58" s="415">
        <f t="shared" si="39"/>
        <v>1000</v>
      </c>
      <c r="AC58" s="196">
        <f t="shared" si="36"/>
        <v>1</v>
      </c>
      <c r="AD58" s="1164"/>
      <c r="AE58" s="1179"/>
    </row>
    <row r="59" spans="1:31" x14ac:dyDescent="0.3">
      <c r="A59" s="170" t="s">
        <v>94</v>
      </c>
      <c r="B59" s="414">
        <v>2700</v>
      </c>
      <c r="C59" s="415">
        <v>2700</v>
      </c>
      <c r="D59" s="416">
        <f t="shared" si="27"/>
        <v>0</v>
      </c>
      <c r="E59" s="194">
        <f t="shared" si="28"/>
        <v>0</v>
      </c>
      <c r="F59" s="1164"/>
      <c r="G59" s="426">
        <v>2700</v>
      </c>
      <c r="H59" s="427">
        <v>2700</v>
      </c>
      <c r="I59" s="416">
        <f t="shared" si="29"/>
        <v>0</v>
      </c>
      <c r="J59" s="315">
        <f t="shared" si="30"/>
        <v>0</v>
      </c>
      <c r="K59" s="230"/>
      <c r="L59" s="889">
        <v>2700</v>
      </c>
      <c r="M59" s="891">
        <v>2542</v>
      </c>
      <c r="N59" s="416">
        <f t="shared" si="31"/>
        <v>-158</v>
      </c>
      <c r="O59" s="196">
        <f t="shared" si="32"/>
        <v>-5.8518518518518518E-2</v>
      </c>
      <c r="P59" s="785"/>
      <c r="Q59" s="602">
        <v>2700</v>
      </c>
      <c r="R59" s="427">
        <v>2348</v>
      </c>
      <c r="S59" s="416">
        <f t="shared" si="33"/>
        <v>-352</v>
      </c>
      <c r="T59" s="197">
        <f t="shared" si="34"/>
        <v>-0.13037037037037036</v>
      </c>
      <c r="U59" s="785"/>
      <c r="V59" s="567">
        <f t="shared" si="35"/>
        <v>10800</v>
      </c>
      <c r="W59" s="415">
        <f t="shared" si="40"/>
        <v>10290</v>
      </c>
      <c r="X59" s="416">
        <f t="shared" si="37"/>
        <v>-510</v>
      </c>
      <c r="Y59" s="196">
        <f t="shared" si="38"/>
        <v>-4.7222222222222221E-2</v>
      </c>
      <c r="Z59" s="953"/>
      <c r="AA59" s="567">
        <v>10800</v>
      </c>
      <c r="AB59" s="415">
        <f t="shared" si="39"/>
        <v>510</v>
      </c>
      <c r="AC59" s="196">
        <f t="shared" si="36"/>
        <v>4.7222222222222221E-2</v>
      </c>
      <c r="AD59" s="1164"/>
      <c r="AE59" s="1179"/>
    </row>
    <row r="60" spans="1:31" x14ac:dyDescent="0.3">
      <c r="A60" s="170" t="s">
        <v>95</v>
      </c>
      <c r="B60" s="414">
        <v>3000</v>
      </c>
      <c r="C60" s="415">
        <v>360</v>
      </c>
      <c r="D60" s="416">
        <f t="shared" si="27"/>
        <v>-2640</v>
      </c>
      <c r="E60" s="194">
        <f t="shared" si="28"/>
        <v>-0.88</v>
      </c>
      <c r="F60" s="1163"/>
      <c r="G60" s="426">
        <v>3000</v>
      </c>
      <c r="H60" s="427">
        <v>945</v>
      </c>
      <c r="I60" s="416">
        <f t="shared" si="29"/>
        <v>-2055</v>
      </c>
      <c r="J60" s="315">
        <f t="shared" si="30"/>
        <v>-0.68500000000000005</v>
      </c>
      <c r="K60" s="171"/>
      <c r="L60" s="889">
        <v>3000</v>
      </c>
      <c r="M60" s="891">
        <v>360</v>
      </c>
      <c r="N60" s="416">
        <f t="shared" si="31"/>
        <v>-2640</v>
      </c>
      <c r="O60" s="196">
        <f t="shared" si="32"/>
        <v>-0.88</v>
      </c>
      <c r="P60" s="783"/>
      <c r="Q60" s="602">
        <v>3000</v>
      </c>
      <c r="R60" s="427">
        <v>360</v>
      </c>
      <c r="S60" s="416">
        <f t="shared" si="33"/>
        <v>-2640</v>
      </c>
      <c r="T60" s="197">
        <f t="shared" si="34"/>
        <v>-0.88</v>
      </c>
      <c r="U60" s="783"/>
      <c r="V60" s="567">
        <f t="shared" si="35"/>
        <v>12000</v>
      </c>
      <c r="W60" s="415">
        <f t="shared" si="40"/>
        <v>2025</v>
      </c>
      <c r="X60" s="416">
        <f t="shared" si="37"/>
        <v>-9975</v>
      </c>
      <c r="Y60" s="196">
        <f t="shared" si="38"/>
        <v>-0.83125000000000004</v>
      </c>
      <c r="Z60" s="951"/>
      <c r="AA60" s="567">
        <v>12000</v>
      </c>
      <c r="AB60" s="415">
        <f t="shared" si="39"/>
        <v>9975</v>
      </c>
      <c r="AC60" s="196">
        <f t="shared" si="36"/>
        <v>0.83125000000000004</v>
      </c>
      <c r="AD60" s="1163"/>
      <c r="AE60" s="1182"/>
    </row>
    <row r="61" spans="1:31" x14ac:dyDescent="0.3">
      <c r="A61" s="170" t="s">
        <v>96</v>
      </c>
      <c r="B61" s="414">
        <v>4550</v>
      </c>
      <c r="C61" s="415">
        <v>4581</v>
      </c>
      <c r="D61" s="416">
        <f t="shared" si="27"/>
        <v>31</v>
      </c>
      <c r="E61" s="194">
        <f t="shared" si="28"/>
        <v>6.8131868131868136E-3</v>
      </c>
      <c r="F61" s="1163"/>
      <c r="G61" s="426">
        <v>4550</v>
      </c>
      <c r="H61" s="427">
        <v>4305</v>
      </c>
      <c r="I61" s="416">
        <f t="shared" si="29"/>
        <v>-245</v>
      </c>
      <c r="J61" s="315">
        <f t="shared" si="30"/>
        <v>-5.3846153846153849E-2</v>
      </c>
      <c r="K61" s="171"/>
      <c r="L61" s="889">
        <v>4550</v>
      </c>
      <c r="M61" s="891">
        <v>3475</v>
      </c>
      <c r="N61" s="416">
        <f t="shared" si="31"/>
        <v>-1075</v>
      </c>
      <c r="O61" s="196">
        <f t="shared" si="32"/>
        <v>-0.23626373626373626</v>
      </c>
      <c r="P61" s="783"/>
      <c r="Q61" s="602">
        <v>4550</v>
      </c>
      <c r="R61" s="427">
        <v>4157</v>
      </c>
      <c r="S61" s="416">
        <f t="shared" si="33"/>
        <v>-393</v>
      </c>
      <c r="T61" s="197">
        <f t="shared" si="34"/>
        <v>-8.6373626373626375E-2</v>
      </c>
      <c r="U61" s="783"/>
      <c r="V61" s="567">
        <f t="shared" si="35"/>
        <v>18200</v>
      </c>
      <c r="W61" s="415">
        <f t="shared" si="40"/>
        <v>16518</v>
      </c>
      <c r="X61" s="416">
        <f t="shared" si="37"/>
        <v>-1682</v>
      </c>
      <c r="Y61" s="196">
        <f t="shared" si="38"/>
        <v>-9.2417582417582411E-2</v>
      </c>
      <c r="Z61" s="951"/>
      <c r="AA61" s="567">
        <v>18200</v>
      </c>
      <c r="AB61" s="415">
        <f t="shared" si="39"/>
        <v>1682</v>
      </c>
      <c r="AC61" s="196">
        <f t="shared" si="36"/>
        <v>9.2417582417582411E-2</v>
      </c>
      <c r="AD61" s="1163"/>
      <c r="AE61" s="1182"/>
    </row>
    <row r="62" spans="1:31" ht="19.5" thickBot="1" x14ac:dyDescent="0.35">
      <c r="A62" s="170" t="s">
        <v>110</v>
      </c>
      <c r="B62" s="414">
        <v>4400</v>
      </c>
      <c r="C62" s="415">
        <v>11671</v>
      </c>
      <c r="D62" s="416">
        <f t="shared" si="27"/>
        <v>7271</v>
      </c>
      <c r="E62" s="194">
        <f t="shared" si="28"/>
        <v>1.6525000000000001</v>
      </c>
      <c r="F62" s="1163"/>
      <c r="G62" s="426">
        <v>4400</v>
      </c>
      <c r="H62" s="427">
        <v>12897</v>
      </c>
      <c r="I62" s="416">
        <f t="shared" si="29"/>
        <v>8497</v>
      </c>
      <c r="J62" s="315">
        <f t="shared" si="30"/>
        <v>1.9311363636363637</v>
      </c>
      <c r="K62" s="171"/>
      <c r="L62" s="889">
        <v>4400</v>
      </c>
      <c r="M62" s="891">
        <v>850</v>
      </c>
      <c r="N62" s="416">
        <f t="shared" si="31"/>
        <v>-3550</v>
      </c>
      <c r="O62" s="196">
        <f t="shared" si="32"/>
        <v>-0.80681818181818177</v>
      </c>
      <c r="P62" s="783"/>
      <c r="Q62" s="602">
        <v>4400</v>
      </c>
      <c r="R62" s="427">
        <v>688</v>
      </c>
      <c r="S62" s="416">
        <f t="shared" si="33"/>
        <v>-3712</v>
      </c>
      <c r="T62" s="197">
        <f t="shared" si="34"/>
        <v>-0.84363636363636363</v>
      </c>
      <c r="U62" s="783"/>
      <c r="V62" s="567">
        <f t="shared" si="35"/>
        <v>17600</v>
      </c>
      <c r="W62" s="415">
        <f t="shared" si="40"/>
        <v>26106</v>
      </c>
      <c r="X62" s="416">
        <f t="shared" si="37"/>
        <v>8506</v>
      </c>
      <c r="Y62" s="196">
        <f t="shared" si="38"/>
        <v>0.48329545454545453</v>
      </c>
      <c r="Z62" s="951"/>
      <c r="AA62" s="567">
        <v>17600</v>
      </c>
      <c r="AB62" s="415">
        <f>AA62-W62</f>
        <v>-8506</v>
      </c>
      <c r="AC62" s="196">
        <f t="shared" si="36"/>
        <v>-0.48329545454545453</v>
      </c>
      <c r="AD62" s="1163"/>
      <c r="AE62" s="1182"/>
    </row>
    <row r="63" spans="1:31" x14ac:dyDescent="0.3">
      <c r="A63" s="170" t="s">
        <v>124</v>
      </c>
      <c r="B63" s="414">
        <v>0</v>
      </c>
      <c r="C63" s="415">
        <v>0</v>
      </c>
      <c r="D63" s="416">
        <f t="shared" si="27"/>
        <v>0</v>
      </c>
      <c r="E63" s="194" t="str">
        <f t="shared" si="28"/>
        <v>-</v>
      </c>
      <c r="F63" s="1163"/>
      <c r="G63" s="414">
        <v>0</v>
      </c>
      <c r="H63" s="415">
        <v>0</v>
      </c>
      <c r="I63" s="416">
        <f t="shared" si="29"/>
        <v>0</v>
      </c>
      <c r="J63" s="315" t="str">
        <f t="shared" si="30"/>
        <v>-</v>
      </c>
      <c r="K63" s="171"/>
      <c r="L63" s="889">
        <v>0</v>
      </c>
      <c r="M63" s="889">
        <v>0</v>
      </c>
      <c r="N63" s="416">
        <f t="shared" si="31"/>
        <v>0</v>
      </c>
      <c r="O63" s="196" t="str">
        <f t="shared" si="32"/>
        <v>-</v>
      </c>
      <c r="P63" s="947"/>
      <c r="Q63" s="602">
        <v>0</v>
      </c>
      <c r="R63" s="427">
        <v>0</v>
      </c>
      <c r="S63" s="416">
        <f>R63-Q63</f>
        <v>0</v>
      </c>
      <c r="T63" s="197" t="str">
        <f t="shared" si="34"/>
        <v>-</v>
      </c>
      <c r="U63" s="783"/>
      <c r="V63" s="567">
        <f t="shared" si="35"/>
        <v>0</v>
      </c>
      <c r="W63" s="415">
        <f t="shared" si="40"/>
        <v>0</v>
      </c>
      <c r="X63" s="416">
        <f t="shared" si="37"/>
        <v>0</v>
      </c>
      <c r="Y63" s="196" t="str">
        <f t="shared" si="38"/>
        <v>-</v>
      </c>
      <c r="Z63" s="951"/>
      <c r="AA63" s="567">
        <v>0</v>
      </c>
      <c r="AB63" s="415">
        <f t="shared" si="39"/>
        <v>0</v>
      </c>
      <c r="AC63" s="196" t="str">
        <f t="shared" si="36"/>
        <v>-</v>
      </c>
      <c r="AD63" s="1163"/>
      <c r="AE63" s="1179"/>
    </row>
    <row r="64" spans="1:31" x14ac:dyDescent="0.3">
      <c r="A64" s="170" t="s">
        <v>123</v>
      </c>
      <c r="B64" s="414">
        <v>0</v>
      </c>
      <c r="C64" s="415">
        <v>0</v>
      </c>
      <c r="D64" s="416">
        <f t="shared" si="27"/>
        <v>0</v>
      </c>
      <c r="E64" s="194" t="str">
        <f t="shared" si="28"/>
        <v>-</v>
      </c>
      <c r="F64" s="1164"/>
      <c r="G64" s="414">
        <v>0</v>
      </c>
      <c r="H64" s="415">
        <v>0</v>
      </c>
      <c r="I64" s="416">
        <f t="shared" si="29"/>
        <v>0</v>
      </c>
      <c r="J64" s="315" t="str">
        <f t="shared" si="30"/>
        <v>-</v>
      </c>
      <c r="K64" s="230"/>
      <c r="L64" s="889">
        <v>0</v>
      </c>
      <c r="M64" s="889">
        <v>0</v>
      </c>
      <c r="N64" s="416">
        <f t="shared" si="31"/>
        <v>0</v>
      </c>
      <c r="O64" s="196" t="str">
        <f t="shared" si="32"/>
        <v>-</v>
      </c>
      <c r="P64" s="785"/>
      <c r="Q64" s="602">
        <v>0</v>
      </c>
      <c r="R64" s="427">
        <v>0</v>
      </c>
      <c r="S64" s="416">
        <f t="shared" si="33"/>
        <v>0</v>
      </c>
      <c r="T64" s="197" t="str">
        <f t="shared" si="34"/>
        <v>-</v>
      </c>
      <c r="U64" s="785"/>
      <c r="V64" s="567">
        <f t="shared" si="35"/>
        <v>0</v>
      </c>
      <c r="W64" s="415">
        <f t="shared" si="40"/>
        <v>0</v>
      </c>
      <c r="X64" s="416">
        <f t="shared" si="37"/>
        <v>0</v>
      </c>
      <c r="Y64" s="196" t="str">
        <f t="shared" si="38"/>
        <v>-</v>
      </c>
      <c r="Z64" s="953"/>
      <c r="AA64" s="567">
        <v>0</v>
      </c>
      <c r="AB64" s="415">
        <f t="shared" si="39"/>
        <v>0</v>
      </c>
      <c r="AC64" s="196" t="str">
        <f t="shared" si="36"/>
        <v>-</v>
      </c>
      <c r="AD64" s="1164"/>
      <c r="AE64" s="1179"/>
    </row>
    <row r="65" spans="1:31" x14ac:dyDescent="0.3">
      <c r="A65" s="170" t="s">
        <v>122</v>
      </c>
      <c r="B65" s="414">
        <v>1750</v>
      </c>
      <c r="C65" s="991">
        <v>3000</v>
      </c>
      <c r="D65" s="416">
        <f t="shared" si="27"/>
        <v>1250</v>
      </c>
      <c r="E65" s="194">
        <f t="shared" si="28"/>
        <v>0.7142857142857143</v>
      </c>
      <c r="F65" s="1164"/>
      <c r="G65" s="426">
        <v>1750</v>
      </c>
      <c r="H65" s="415">
        <v>0</v>
      </c>
      <c r="I65" s="416">
        <f t="shared" si="29"/>
        <v>-1750</v>
      </c>
      <c r="J65" s="315">
        <f t="shared" si="30"/>
        <v>-1</v>
      </c>
      <c r="K65" s="230"/>
      <c r="L65" s="889">
        <v>1750</v>
      </c>
      <c r="M65" s="891">
        <v>0</v>
      </c>
      <c r="N65" s="416">
        <f t="shared" si="31"/>
        <v>-1750</v>
      </c>
      <c r="O65" s="196">
        <f t="shared" si="32"/>
        <v>-1</v>
      </c>
      <c r="P65" s="785"/>
      <c r="Q65" s="602">
        <v>1750</v>
      </c>
      <c r="R65" s="427">
        <v>0</v>
      </c>
      <c r="S65" s="416">
        <f t="shared" si="33"/>
        <v>-1750</v>
      </c>
      <c r="T65" s="197">
        <f t="shared" si="34"/>
        <v>-1</v>
      </c>
      <c r="U65" s="785"/>
      <c r="V65" s="990">
        <f t="shared" si="35"/>
        <v>7000</v>
      </c>
      <c r="W65" s="415">
        <f t="shared" si="40"/>
        <v>3000</v>
      </c>
      <c r="X65" s="416">
        <f t="shared" si="37"/>
        <v>-4000</v>
      </c>
      <c r="Y65" s="196">
        <f t="shared" si="38"/>
        <v>-0.5714285714285714</v>
      </c>
      <c r="Z65" s="953"/>
      <c r="AA65" s="567">
        <v>7000</v>
      </c>
      <c r="AB65" s="415">
        <f t="shared" si="39"/>
        <v>4000</v>
      </c>
      <c r="AC65" s="196">
        <f t="shared" si="36"/>
        <v>0.5714285714285714</v>
      </c>
      <c r="AD65" s="1164"/>
      <c r="AE65" s="1178"/>
    </row>
    <row r="66" spans="1:31" x14ac:dyDescent="0.3">
      <c r="A66" s="170" t="s">
        <v>114</v>
      </c>
      <c r="B66" s="414">
        <v>0</v>
      </c>
      <c r="C66" s="415">
        <v>0</v>
      </c>
      <c r="D66" s="416">
        <f t="shared" si="27"/>
        <v>0</v>
      </c>
      <c r="E66" s="194" t="str">
        <f t="shared" si="28"/>
        <v>-</v>
      </c>
      <c r="F66" s="1164"/>
      <c r="G66" s="414">
        <v>0</v>
      </c>
      <c r="H66" s="415">
        <v>0</v>
      </c>
      <c r="I66" s="416">
        <f t="shared" si="29"/>
        <v>0</v>
      </c>
      <c r="J66" s="315" t="str">
        <f t="shared" si="30"/>
        <v>-</v>
      </c>
      <c r="K66" s="230"/>
      <c r="L66" s="889">
        <v>0</v>
      </c>
      <c r="M66" s="891">
        <v>0</v>
      </c>
      <c r="N66" s="416">
        <f t="shared" si="31"/>
        <v>0</v>
      </c>
      <c r="O66" s="196" t="str">
        <f t="shared" si="32"/>
        <v>-</v>
      </c>
      <c r="P66" s="785"/>
      <c r="Q66" s="602">
        <v>0</v>
      </c>
      <c r="R66" s="427">
        <v>0</v>
      </c>
      <c r="S66" s="416">
        <f t="shared" si="33"/>
        <v>0</v>
      </c>
      <c r="T66" s="197" t="str">
        <f t="shared" si="34"/>
        <v>-</v>
      </c>
      <c r="U66" s="785"/>
      <c r="V66" s="567">
        <f t="shared" si="35"/>
        <v>0</v>
      </c>
      <c r="W66" s="415">
        <f>C66+H66+M66+R66</f>
        <v>0</v>
      </c>
      <c r="X66" s="416">
        <f t="shared" si="37"/>
        <v>0</v>
      </c>
      <c r="Y66" s="196" t="str">
        <f t="shared" si="38"/>
        <v>-</v>
      </c>
      <c r="Z66" s="953"/>
      <c r="AA66" s="567">
        <v>0</v>
      </c>
      <c r="AB66" s="415">
        <f t="shared" si="39"/>
        <v>0</v>
      </c>
      <c r="AC66" s="196" t="str">
        <f t="shared" si="36"/>
        <v>-</v>
      </c>
      <c r="AD66" s="1164"/>
      <c r="AE66" s="1179"/>
    </row>
    <row r="67" spans="1:31" ht="23.25" customHeight="1" x14ac:dyDescent="0.3">
      <c r="A67" s="170" t="s">
        <v>115</v>
      </c>
      <c r="B67" s="414">
        <v>28140</v>
      </c>
      <c r="C67" s="415">
        <v>28140</v>
      </c>
      <c r="D67" s="416">
        <f t="shared" si="27"/>
        <v>0</v>
      </c>
      <c r="E67" s="194">
        <f t="shared" si="28"/>
        <v>0</v>
      </c>
      <c r="F67" s="1163"/>
      <c r="G67" s="426">
        <v>28140</v>
      </c>
      <c r="H67" s="427">
        <v>28140</v>
      </c>
      <c r="I67" s="416">
        <f t="shared" si="29"/>
        <v>0</v>
      </c>
      <c r="J67" s="315">
        <f t="shared" si="30"/>
        <v>0</v>
      </c>
      <c r="K67" s="171"/>
      <c r="L67" s="889">
        <v>28140</v>
      </c>
      <c r="M67" s="891">
        <v>28140</v>
      </c>
      <c r="N67" s="416">
        <f t="shared" si="31"/>
        <v>0</v>
      </c>
      <c r="O67" s="196">
        <f t="shared" si="32"/>
        <v>0</v>
      </c>
      <c r="P67" s="783"/>
      <c r="Q67" s="602">
        <v>28140</v>
      </c>
      <c r="R67" s="427">
        <v>28140</v>
      </c>
      <c r="S67" s="416">
        <f t="shared" si="33"/>
        <v>0</v>
      </c>
      <c r="T67" s="197">
        <f t="shared" si="34"/>
        <v>0</v>
      </c>
      <c r="U67" s="783"/>
      <c r="V67" s="567">
        <f t="shared" si="35"/>
        <v>112560</v>
      </c>
      <c r="W67" s="605">
        <f t="shared" si="40"/>
        <v>112560</v>
      </c>
      <c r="X67" s="416">
        <f t="shared" si="37"/>
        <v>0</v>
      </c>
      <c r="Y67" s="196">
        <f t="shared" si="38"/>
        <v>0</v>
      </c>
      <c r="Z67" s="951"/>
      <c r="AA67" s="567">
        <v>112560</v>
      </c>
      <c r="AB67" s="415">
        <f t="shared" si="39"/>
        <v>0</v>
      </c>
      <c r="AC67" s="196">
        <f t="shared" si="36"/>
        <v>0</v>
      </c>
      <c r="AD67" s="1163"/>
      <c r="AE67" s="1178"/>
    </row>
    <row r="68" spans="1:31" x14ac:dyDescent="0.3">
      <c r="A68" s="170" t="s">
        <v>121</v>
      </c>
      <c r="B68" s="414">
        <v>0</v>
      </c>
      <c r="C68" s="415">
        <v>0</v>
      </c>
      <c r="D68" s="416">
        <f t="shared" si="27"/>
        <v>0</v>
      </c>
      <c r="E68" s="194" t="str">
        <f t="shared" si="28"/>
        <v>-</v>
      </c>
      <c r="F68" s="1164"/>
      <c r="G68" s="414">
        <v>0</v>
      </c>
      <c r="H68" s="415">
        <v>0</v>
      </c>
      <c r="I68" s="416">
        <f t="shared" si="29"/>
        <v>0</v>
      </c>
      <c r="J68" s="315" t="str">
        <f t="shared" si="30"/>
        <v>-</v>
      </c>
      <c r="K68" s="230"/>
      <c r="L68" s="889">
        <v>0</v>
      </c>
      <c r="M68" s="891">
        <v>0</v>
      </c>
      <c r="N68" s="416">
        <f t="shared" si="31"/>
        <v>0</v>
      </c>
      <c r="O68" s="196" t="str">
        <f t="shared" si="32"/>
        <v>-</v>
      </c>
      <c r="P68" s="785"/>
      <c r="Q68" s="602">
        <v>0</v>
      </c>
      <c r="R68" s="616">
        <v>0</v>
      </c>
      <c r="S68" s="416">
        <f t="shared" si="33"/>
        <v>0</v>
      </c>
      <c r="T68" s="197" t="str">
        <f t="shared" si="34"/>
        <v>-</v>
      </c>
      <c r="U68" s="785"/>
      <c r="V68" s="567">
        <f t="shared" si="35"/>
        <v>0</v>
      </c>
      <c r="W68" s="605">
        <f t="shared" si="40"/>
        <v>0</v>
      </c>
      <c r="X68" s="891">
        <f t="shared" si="37"/>
        <v>0</v>
      </c>
      <c r="Y68" s="731" t="str">
        <f t="shared" si="38"/>
        <v>-</v>
      </c>
      <c r="Z68" s="953"/>
      <c r="AA68" s="567">
        <v>0</v>
      </c>
      <c r="AB68" s="415">
        <f t="shared" si="39"/>
        <v>0</v>
      </c>
      <c r="AC68" s="196" t="str">
        <f t="shared" si="36"/>
        <v>-</v>
      </c>
      <c r="AD68" s="1164"/>
      <c r="AE68" s="1178"/>
    </row>
    <row r="69" spans="1:31" x14ac:dyDescent="0.3">
      <c r="A69" s="170" t="s">
        <v>97</v>
      </c>
      <c r="B69" s="414">
        <v>375</v>
      </c>
      <c r="C69" s="415">
        <v>804</v>
      </c>
      <c r="D69" s="416">
        <f t="shared" si="27"/>
        <v>429</v>
      </c>
      <c r="E69" s="194">
        <f t="shared" si="28"/>
        <v>1.1439999999999999</v>
      </c>
      <c r="F69" s="1164"/>
      <c r="G69" s="426">
        <v>375</v>
      </c>
      <c r="H69" s="427">
        <v>1032</v>
      </c>
      <c r="I69" s="416">
        <f t="shared" si="29"/>
        <v>657</v>
      </c>
      <c r="J69" s="315">
        <f t="shared" si="30"/>
        <v>1.752</v>
      </c>
      <c r="K69" s="230"/>
      <c r="L69" s="889">
        <v>375</v>
      </c>
      <c r="M69" s="891">
        <v>0</v>
      </c>
      <c r="N69" s="416">
        <f t="shared" si="31"/>
        <v>-375</v>
      </c>
      <c r="O69" s="196">
        <f t="shared" si="32"/>
        <v>-1</v>
      </c>
      <c r="P69" s="785"/>
      <c r="Q69" s="396">
        <v>375</v>
      </c>
      <c r="R69" s="1066">
        <v>0</v>
      </c>
      <c r="S69" s="416">
        <f t="shared" si="33"/>
        <v>-375</v>
      </c>
      <c r="T69" s="197">
        <f t="shared" si="34"/>
        <v>-1</v>
      </c>
      <c r="U69" s="785"/>
      <c r="V69" s="567">
        <f t="shared" si="35"/>
        <v>1500</v>
      </c>
      <c r="W69" s="605">
        <f t="shared" si="40"/>
        <v>1836</v>
      </c>
      <c r="X69" s="891">
        <f t="shared" si="37"/>
        <v>336</v>
      </c>
      <c r="Y69" s="731">
        <f t="shared" si="38"/>
        <v>0.224</v>
      </c>
      <c r="Z69" s="953"/>
      <c r="AA69" s="567">
        <v>1500</v>
      </c>
      <c r="AB69" s="605">
        <f t="shared" si="39"/>
        <v>-336</v>
      </c>
      <c r="AC69" s="731">
        <f t="shared" si="36"/>
        <v>-0.224</v>
      </c>
      <c r="AD69" s="1164"/>
      <c r="AE69" s="1179"/>
    </row>
    <row r="70" spans="1:31" x14ac:dyDescent="0.3">
      <c r="A70" s="170" t="s">
        <v>98</v>
      </c>
      <c r="B70" s="414">
        <v>125</v>
      </c>
      <c r="C70" s="415">
        <v>0</v>
      </c>
      <c r="D70" s="416">
        <f t="shared" si="27"/>
        <v>-125</v>
      </c>
      <c r="E70" s="194">
        <f t="shared" si="28"/>
        <v>-1</v>
      </c>
      <c r="F70" s="1163"/>
      <c r="G70" s="426">
        <v>125</v>
      </c>
      <c r="H70" s="415">
        <v>0</v>
      </c>
      <c r="I70" s="416">
        <f t="shared" si="29"/>
        <v>-125</v>
      </c>
      <c r="J70" s="315">
        <f t="shared" si="30"/>
        <v>-1</v>
      </c>
      <c r="K70" s="171"/>
      <c r="L70" s="889">
        <v>125</v>
      </c>
      <c r="M70" s="891">
        <v>0</v>
      </c>
      <c r="N70" s="416">
        <f t="shared" si="31"/>
        <v>-125</v>
      </c>
      <c r="O70" s="196">
        <f t="shared" si="32"/>
        <v>-1</v>
      </c>
      <c r="P70" s="783"/>
      <c r="Q70" s="396">
        <v>125</v>
      </c>
      <c r="R70" s="1066">
        <v>0</v>
      </c>
      <c r="S70" s="416">
        <f t="shared" si="33"/>
        <v>-125</v>
      </c>
      <c r="T70" s="197">
        <f t="shared" si="34"/>
        <v>-1</v>
      </c>
      <c r="U70" s="783"/>
      <c r="V70" s="397">
        <f t="shared" si="35"/>
        <v>500</v>
      </c>
      <c r="W70" s="891">
        <f t="shared" si="40"/>
        <v>0</v>
      </c>
      <c r="X70" s="891">
        <f t="shared" si="37"/>
        <v>-500</v>
      </c>
      <c r="Y70" s="731">
        <f t="shared" si="38"/>
        <v>-1</v>
      </c>
      <c r="Z70" s="951"/>
      <c r="AA70" s="567">
        <v>500</v>
      </c>
      <c r="AB70" s="605">
        <f t="shared" si="39"/>
        <v>500</v>
      </c>
      <c r="AC70" s="731">
        <f t="shared" si="36"/>
        <v>1</v>
      </c>
      <c r="AD70" s="1163"/>
      <c r="AE70" s="1179"/>
    </row>
    <row r="71" spans="1:31" x14ac:dyDescent="0.3">
      <c r="A71" s="170" t="s">
        <v>116</v>
      </c>
      <c r="B71" s="414">
        <v>0</v>
      </c>
      <c r="C71" s="415">
        <v>0</v>
      </c>
      <c r="D71" s="416">
        <f t="shared" si="27"/>
        <v>0</v>
      </c>
      <c r="E71" s="194" t="str">
        <f t="shared" si="28"/>
        <v>-</v>
      </c>
      <c r="F71" s="1164"/>
      <c r="G71" s="414">
        <v>0</v>
      </c>
      <c r="H71" s="415">
        <v>0</v>
      </c>
      <c r="I71" s="416">
        <f t="shared" si="29"/>
        <v>0</v>
      </c>
      <c r="J71" s="315" t="str">
        <f t="shared" si="30"/>
        <v>-</v>
      </c>
      <c r="K71" s="230"/>
      <c r="L71" s="889">
        <v>0</v>
      </c>
      <c r="M71" s="889">
        <v>0</v>
      </c>
      <c r="N71" s="416">
        <f t="shared" si="31"/>
        <v>0</v>
      </c>
      <c r="O71" s="196" t="str">
        <f t="shared" si="32"/>
        <v>-</v>
      </c>
      <c r="P71" s="785"/>
      <c r="Q71" s="396">
        <v>0</v>
      </c>
      <c r="R71" s="1066">
        <v>0</v>
      </c>
      <c r="S71" s="891">
        <f>R71-Q71</f>
        <v>0</v>
      </c>
      <c r="T71" s="1026" t="str">
        <f t="shared" si="34"/>
        <v>-</v>
      </c>
      <c r="U71" s="785"/>
      <c r="V71" s="397">
        <f t="shared" si="35"/>
        <v>0</v>
      </c>
      <c r="W71" s="891">
        <f t="shared" si="40"/>
        <v>0</v>
      </c>
      <c r="X71" s="891">
        <f t="shared" si="37"/>
        <v>0</v>
      </c>
      <c r="Y71" s="731" t="str">
        <f t="shared" si="38"/>
        <v>-</v>
      </c>
      <c r="Z71" s="953"/>
      <c r="AA71" s="567">
        <v>0</v>
      </c>
      <c r="AB71" s="605">
        <f t="shared" si="39"/>
        <v>0</v>
      </c>
      <c r="AC71" s="731" t="str">
        <f t="shared" si="36"/>
        <v>-</v>
      </c>
      <c r="AD71" s="1164"/>
      <c r="AE71" s="1179"/>
    </row>
    <row r="72" spans="1:31" x14ac:dyDescent="0.3">
      <c r="A72" s="170" t="s">
        <v>99</v>
      </c>
      <c r="B72" s="414">
        <v>375</v>
      </c>
      <c r="C72" s="415">
        <v>0</v>
      </c>
      <c r="D72" s="416">
        <f t="shared" si="27"/>
        <v>-375</v>
      </c>
      <c r="E72" s="194">
        <f t="shared" si="28"/>
        <v>-1</v>
      </c>
      <c r="F72" s="1163"/>
      <c r="G72" s="426">
        <v>375</v>
      </c>
      <c r="H72" s="415">
        <v>0</v>
      </c>
      <c r="I72" s="416">
        <f t="shared" si="29"/>
        <v>-375</v>
      </c>
      <c r="J72" s="315">
        <f t="shared" si="30"/>
        <v>-1</v>
      </c>
      <c r="K72" s="171"/>
      <c r="L72" s="889">
        <v>375</v>
      </c>
      <c r="M72" s="889">
        <v>0</v>
      </c>
      <c r="N72" s="416">
        <f t="shared" si="31"/>
        <v>-375</v>
      </c>
      <c r="O72" s="196">
        <f t="shared" si="32"/>
        <v>-1</v>
      </c>
      <c r="P72" s="783"/>
      <c r="Q72" s="396">
        <v>375</v>
      </c>
      <c r="R72" s="1066">
        <v>0</v>
      </c>
      <c r="S72" s="891">
        <f t="shared" si="33"/>
        <v>-375</v>
      </c>
      <c r="T72" s="1026">
        <f t="shared" si="34"/>
        <v>-1</v>
      </c>
      <c r="U72" s="783"/>
      <c r="V72" s="397">
        <f t="shared" si="35"/>
        <v>1500</v>
      </c>
      <c r="W72" s="891">
        <f t="shared" si="40"/>
        <v>0</v>
      </c>
      <c r="X72" s="891">
        <f t="shared" si="37"/>
        <v>-1500</v>
      </c>
      <c r="Y72" s="731">
        <f t="shared" si="38"/>
        <v>-1</v>
      </c>
      <c r="Z72" s="951"/>
      <c r="AA72" s="397">
        <v>1500</v>
      </c>
      <c r="AB72" s="891">
        <f t="shared" si="39"/>
        <v>1500</v>
      </c>
      <c r="AC72" s="731">
        <f t="shared" si="36"/>
        <v>1</v>
      </c>
      <c r="AD72" s="1163"/>
      <c r="AE72" s="1179"/>
    </row>
    <row r="73" spans="1:31" x14ac:dyDescent="0.3">
      <c r="A73" s="170" t="s">
        <v>100</v>
      </c>
      <c r="B73" s="414">
        <v>650</v>
      </c>
      <c r="C73" s="415">
        <v>0</v>
      </c>
      <c r="D73" s="416">
        <f t="shared" si="27"/>
        <v>-650</v>
      </c>
      <c r="E73" s="194">
        <f t="shared" si="28"/>
        <v>-1</v>
      </c>
      <c r="F73" s="1164"/>
      <c r="G73" s="426">
        <v>650</v>
      </c>
      <c r="H73" s="415">
        <v>0</v>
      </c>
      <c r="I73" s="416">
        <f t="shared" si="29"/>
        <v>-650</v>
      </c>
      <c r="J73" s="315">
        <f t="shared" si="30"/>
        <v>-1</v>
      </c>
      <c r="K73" s="230"/>
      <c r="L73" s="889">
        <v>650</v>
      </c>
      <c r="M73" s="889">
        <v>0</v>
      </c>
      <c r="N73" s="416">
        <f t="shared" si="31"/>
        <v>-650</v>
      </c>
      <c r="O73" s="196"/>
      <c r="P73" s="785"/>
      <c r="Q73" s="396">
        <v>650</v>
      </c>
      <c r="R73" s="1066">
        <v>0</v>
      </c>
      <c r="S73" s="891">
        <f t="shared" si="33"/>
        <v>-650</v>
      </c>
      <c r="T73" s="1026"/>
      <c r="U73" s="785"/>
      <c r="V73" s="397">
        <f t="shared" si="35"/>
        <v>2600</v>
      </c>
      <c r="W73" s="891">
        <f t="shared" si="40"/>
        <v>0</v>
      </c>
      <c r="X73" s="891">
        <f t="shared" si="37"/>
        <v>-2600</v>
      </c>
      <c r="Y73" s="731">
        <f t="shared" si="38"/>
        <v>-1</v>
      </c>
      <c r="Z73" s="953"/>
      <c r="AA73" s="397">
        <v>2600</v>
      </c>
      <c r="AB73" s="891">
        <f t="shared" si="39"/>
        <v>2600</v>
      </c>
      <c r="AC73" s="731">
        <f t="shared" si="36"/>
        <v>1</v>
      </c>
      <c r="AD73" s="1164"/>
      <c r="AE73" s="1178"/>
    </row>
    <row r="74" spans="1:31" x14ac:dyDescent="0.3">
      <c r="A74" s="248" t="s">
        <v>101</v>
      </c>
      <c r="B74" s="414">
        <v>7200</v>
      </c>
      <c r="C74" s="415">
        <v>4359</v>
      </c>
      <c r="D74" s="416">
        <f t="shared" si="27"/>
        <v>-2841</v>
      </c>
      <c r="E74" s="194">
        <f t="shared" si="28"/>
        <v>-0.39458333333333334</v>
      </c>
      <c r="F74" s="1163"/>
      <c r="G74" s="426">
        <v>7200</v>
      </c>
      <c r="H74" s="427">
        <v>4425</v>
      </c>
      <c r="I74" s="416">
        <f t="shared" si="29"/>
        <v>-2775</v>
      </c>
      <c r="J74" s="315">
        <f t="shared" si="30"/>
        <v>-0.38541666666666669</v>
      </c>
      <c r="K74" s="171"/>
      <c r="L74" s="889">
        <v>7200</v>
      </c>
      <c r="M74" s="891">
        <v>5865</v>
      </c>
      <c r="N74" s="416">
        <f t="shared" si="31"/>
        <v>-1335</v>
      </c>
      <c r="O74" s="196">
        <f>IF(ISERROR(N74/L74),"-",N74/L74)</f>
        <v>-0.18541666666666667</v>
      </c>
      <c r="P74" s="783"/>
      <c r="Q74" s="396">
        <v>7200</v>
      </c>
      <c r="R74" s="1066">
        <v>6311</v>
      </c>
      <c r="S74" s="891">
        <f t="shared" si="33"/>
        <v>-889</v>
      </c>
      <c r="T74" s="1026">
        <f>IF(ISERROR(S74/Q74),"-",S74/Q74)</f>
        <v>-0.12347222222222222</v>
      </c>
      <c r="U74" s="783"/>
      <c r="V74" s="397">
        <f t="shared" si="35"/>
        <v>28800</v>
      </c>
      <c r="W74" s="891">
        <f t="shared" si="40"/>
        <v>20960</v>
      </c>
      <c r="X74" s="891">
        <f t="shared" si="37"/>
        <v>-7840</v>
      </c>
      <c r="Y74" s="731">
        <f t="shared" si="38"/>
        <v>-0.2722222222222222</v>
      </c>
      <c r="Z74" s="951"/>
      <c r="AA74" s="397">
        <v>28800</v>
      </c>
      <c r="AB74" s="891">
        <f t="shared" si="39"/>
        <v>7840</v>
      </c>
      <c r="AC74" s="731">
        <f t="shared" si="36"/>
        <v>0.2722222222222222</v>
      </c>
      <c r="AD74" s="1163"/>
      <c r="AE74" s="1178"/>
    </row>
    <row r="75" spans="1:31" x14ac:dyDescent="0.3">
      <c r="A75" s="249" t="s">
        <v>120</v>
      </c>
      <c r="B75" s="414">
        <v>0</v>
      </c>
      <c r="C75" s="415">
        <v>0</v>
      </c>
      <c r="D75" s="416">
        <f t="shared" si="27"/>
        <v>0</v>
      </c>
      <c r="E75" s="194" t="str">
        <f t="shared" si="28"/>
        <v>-</v>
      </c>
      <c r="F75" s="1163"/>
      <c r="G75" s="414">
        <v>0</v>
      </c>
      <c r="H75" s="415">
        <v>0</v>
      </c>
      <c r="I75" s="416">
        <f t="shared" si="29"/>
        <v>0</v>
      </c>
      <c r="J75" s="315" t="str">
        <f t="shared" si="30"/>
        <v>-</v>
      </c>
      <c r="K75" s="171"/>
      <c r="L75" s="889">
        <v>0</v>
      </c>
      <c r="M75" s="891">
        <v>0</v>
      </c>
      <c r="N75" s="416">
        <f t="shared" si="31"/>
        <v>0</v>
      </c>
      <c r="O75" s="196" t="str">
        <f>IF(ISERROR(N75/L75),"-",N75/L75)</f>
        <v>-</v>
      </c>
      <c r="P75" s="783"/>
      <c r="Q75" s="1066">
        <v>0</v>
      </c>
      <c r="R75" s="1066">
        <v>0</v>
      </c>
      <c r="S75" s="891">
        <f t="shared" si="33"/>
        <v>0</v>
      </c>
      <c r="T75" s="1026" t="str">
        <f>IF(ISERROR(S75/Q75),"-",S75/Q75)</f>
        <v>-</v>
      </c>
      <c r="U75" s="783"/>
      <c r="V75" s="397">
        <f t="shared" si="35"/>
        <v>0</v>
      </c>
      <c r="W75" s="891">
        <f t="shared" si="40"/>
        <v>0</v>
      </c>
      <c r="X75" s="891">
        <f t="shared" si="37"/>
        <v>0</v>
      </c>
      <c r="Y75" s="731" t="str">
        <f t="shared" si="38"/>
        <v>-</v>
      </c>
      <c r="Z75" s="951"/>
      <c r="AA75" s="397">
        <v>0</v>
      </c>
      <c r="AB75" s="891">
        <f t="shared" si="39"/>
        <v>0</v>
      </c>
      <c r="AC75" s="731" t="str">
        <f t="shared" si="36"/>
        <v>-</v>
      </c>
      <c r="AD75" s="1163"/>
      <c r="AE75" s="1178"/>
    </row>
    <row r="76" spans="1:31" ht="19.5" thickBot="1" x14ac:dyDescent="0.35">
      <c r="A76" s="174" t="s">
        <v>102</v>
      </c>
      <c r="B76" s="432">
        <f>SUM(B43:B75)</f>
        <v>234037.5</v>
      </c>
      <c r="C76" s="433">
        <f>SUM(C43:C75)</f>
        <v>166203</v>
      </c>
      <c r="D76" s="433">
        <f>SUM(D43:D75)</f>
        <v>-67834.5</v>
      </c>
      <c r="E76" s="211">
        <f>IF(ISERROR(D76/B76),"-",D76/B76)</f>
        <v>-0.28984457618971321</v>
      </c>
      <c r="F76" s="178"/>
      <c r="G76" s="432">
        <f>SUM(G43:G75)</f>
        <v>234037</v>
      </c>
      <c r="H76" s="433">
        <f>SUM(H43:H75)</f>
        <v>138023</v>
      </c>
      <c r="I76" s="433">
        <f>SUM(I43:I75)</f>
        <v>-96014</v>
      </c>
      <c r="J76" s="211">
        <f>IF(ISERROR(I76/G76),"-",I76/G76)</f>
        <v>-0.41025137050979121</v>
      </c>
      <c r="K76" s="178"/>
      <c r="L76" s="1046">
        <f>SUM(L43:L75)</f>
        <v>234037</v>
      </c>
      <c r="M76" s="1058">
        <f>SUM(M43:M75)</f>
        <v>175799.83000000002</v>
      </c>
      <c r="N76" s="607">
        <f>SUM(N43:N75)</f>
        <v>-58237.170000000006</v>
      </c>
      <c r="O76" s="211">
        <f>IF(ISERROR(N76/L76),"-",N76/L76)</f>
        <v>-0.24883744877946651</v>
      </c>
      <c r="P76" s="799"/>
      <c r="Q76" s="1063">
        <f>SUM(Q43:Q75)</f>
        <v>234037</v>
      </c>
      <c r="R76" s="1058">
        <f>SUM(R43:R75)</f>
        <v>457031</v>
      </c>
      <c r="S76" s="1058">
        <f>SUM(S43:S75)</f>
        <v>222994</v>
      </c>
      <c r="T76" s="1073">
        <f>IF(ISERROR(S76/Q76),"-",S76/Q76)</f>
        <v>0.95281515315954313</v>
      </c>
      <c r="U76" s="784"/>
      <c r="V76" s="1063">
        <f>SUM(V43:V75)</f>
        <v>936148.5</v>
      </c>
      <c r="W76" s="1058">
        <f>SUM(W43:W75)</f>
        <v>937056.83</v>
      </c>
      <c r="X76" s="1058">
        <f>SUM(X44:X75)</f>
        <v>908.32999999999811</v>
      </c>
      <c r="Y76" s="1073">
        <f>IF(ISERROR(X76/V76),"-",X76/V76)</f>
        <v>9.7028409488451688E-4</v>
      </c>
      <c r="Z76" s="784"/>
      <c r="AA76" s="1063">
        <f>SUM(AA44:AA75)</f>
        <v>936151</v>
      </c>
      <c r="AB76" s="1058">
        <f>SUM(AB43:AB75)</f>
        <v>-905.82999999999811</v>
      </c>
      <c r="AC76" s="1073">
        <f t="shared" si="36"/>
        <v>-9.6761099438017807E-4</v>
      </c>
      <c r="AD76" s="1173"/>
      <c r="AE76" s="1181"/>
    </row>
    <row r="77" spans="1:31" x14ac:dyDescent="0.3">
      <c r="A77" s="250"/>
      <c r="B77" s="448"/>
      <c r="C77" s="449"/>
      <c r="D77" s="449"/>
      <c r="E77" s="253"/>
      <c r="F77" s="160"/>
      <c r="G77" s="450"/>
      <c r="H77" s="451"/>
      <c r="I77" s="451"/>
      <c r="J77" s="264"/>
      <c r="K77" s="160"/>
      <c r="L77" s="752"/>
      <c r="M77" s="1059"/>
      <c r="N77" s="1049"/>
      <c r="O77" s="257"/>
      <c r="P77" s="160"/>
      <c r="Q77" s="1064"/>
      <c r="R77" s="1067"/>
      <c r="S77" s="1067"/>
      <c r="T77" s="1077"/>
      <c r="U77" s="781"/>
      <c r="V77" s="1068"/>
      <c r="W77" s="1071"/>
      <c r="X77" s="1059"/>
      <c r="Y77" s="1074"/>
      <c r="Z77" s="781"/>
      <c r="AA77" s="1068"/>
      <c r="AB77" s="1059"/>
      <c r="AC77" s="1074"/>
      <c r="AD77" s="1168"/>
      <c r="AE77" s="1178"/>
    </row>
    <row r="78" spans="1:31" ht="19.5" thickBot="1" x14ac:dyDescent="0.35">
      <c r="A78" s="174" t="s">
        <v>103</v>
      </c>
      <c r="B78" s="432">
        <f>B41+B76+B77</f>
        <v>456151.5</v>
      </c>
      <c r="C78" s="433">
        <f>C41+C76+C77</f>
        <v>375990</v>
      </c>
      <c r="D78" s="433">
        <f>D41+D76+D77</f>
        <v>-80161.5</v>
      </c>
      <c r="E78" s="211">
        <f>IF(ISERROR(D78/B78),"-",D78/B78)</f>
        <v>-0.17573437772319064</v>
      </c>
      <c r="F78" s="230"/>
      <c r="G78" s="432">
        <f>G41+G76+G77</f>
        <v>456151</v>
      </c>
      <c r="H78" s="433">
        <f>H41+H76+H77</f>
        <v>348348</v>
      </c>
      <c r="I78" s="433">
        <f>I41+I76+I77</f>
        <v>-107803</v>
      </c>
      <c r="J78" s="211">
        <f>IF(ISERROR(I78/G78),"-",I78/G78)</f>
        <v>-0.23633182871461425</v>
      </c>
      <c r="K78" s="230"/>
      <c r="L78" s="1046">
        <f>L41+L76+L77</f>
        <v>456151</v>
      </c>
      <c r="M78" s="1058">
        <f>M41+M76+M77</f>
        <v>384552.83</v>
      </c>
      <c r="N78" s="607">
        <f>N41+N76+N77</f>
        <v>-71598.170000000013</v>
      </c>
      <c r="O78" s="211">
        <f>IF(ISERROR(N78/L78),"-",N78/L78)</f>
        <v>-0.15696155439755699</v>
      </c>
      <c r="P78" s="230"/>
      <c r="Q78" s="1046">
        <f>Q41+Q76+Q77</f>
        <v>456151</v>
      </c>
      <c r="R78" s="1058">
        <f>R41+R76+R77</f>
        <v>1061821</v>
      </c>
      <c r="S78" s="1058">
        <f>S41+S76+S77</f>
        <v>605670</v>
      </c>
      <c r="T78" s="1073">
        <f>IF(ISERROR(S78/Q78),"-",S78/Q78)</f>
        <v>1.3277840013504301</v>
      </c>
      <c r="U78" s="949"/>
      <c r="V78" s="1046">
        <f>V41+V76+V77</f>
        <v>1824604.5</v>
      </c>
      <c r="W78" s="1058">
        <f>W41+W76+W77</f>
        <v>2170711.83</v>
      </c>
      <c r="X78" s="1058">
        <f>X41+X76+X77</f>
        <v>346107.33</v>
      </c>
      <c r="Y78" s="1073">
        <f>IF(ISERROR(X78/V78),"-",X78/V78)</f>
        <v>0.18968895999105562</v>
      </c>
      <c r="Z78" s="785"/>
      <c r="AA78" s="1063">
        <f>AA41+AA76+AA77</f>
        <v>1824605.56</v>
      </c>
      <c r="AB78" s="1058">
        <f>AB41+AB76</f>
        <v>-346106.27</v>
      </c>
      <c r="AC78" s="1073">
        <f>IF(ISERROR(AB78/AA78),"-",AB78/AA78)</f>
        <v>-0.18968826884425366</v>
      </c>
      <c r="AD78" s="1164"/>
      <c r="AE78" s="1181"/>
    </row>
    <row r="79" spans="1:31" ht="19.5" thickBot="1" x14ac:dyDescent="0.35">
      <c r="A79" s="261" t="s">
        <v>166</v>
      </c>
      <c r="B79" s="448">
        <f>B25-B78</f>
        <v>-19034.5</v>
      </c>
      <c r="C79" s="448">
        <f>C25-C78</f>
        <v>-118778</v>
      </c>
      <c r="D79" s="448">
        <f>D29-D78</f>
        <v>-99743.5</v>
      </c>
      <c r="E79" s="1160"/>
      <c r="F79" s="727">
        <f>F25-F78</f>
        <v>0</v>
      </c>
      <c r="G79" s="448">
        <f>G25-G78</f>
        <v>-19034</v>
      </c>
      <c r="H79" s="448">
        <f>H25-H78</f>
        <v>-61517</v>
      </c>
      <c r="I79" s="448">
        <f>I29-I78</f>
        <v>-42483</v>
      </c>
      <c r="J79" s="726"/>
      <c r="K79" s="756">
        <f>K25-K78</f>
        <v>0</v>
      </c>
      <c r="L79" s="752">
        <f>L25-L78</f>
        <v>-19034</v>
      </c>
      <c r="M79" s="1059">
        <f>M25-M78</f>
        <v>-197736.83000000002</v>
      </c>
      <c r="N79" s="1049">
        <f>N29-N78</f>
        <v>-178702.83</v>
      </c>
      <c r="O79" s="262"/>
      <c r="P79" s="262">
        <f>P25-P78</f>
        <v>0</v>
      </c>
      <c r="Q79" s="752">
        <f>Q25-Q78</f>
        <v>-19034</v>
      </c>
      <c r="R79" s="1059">
        <f>R25-R78</f>
        <v>-376273</v>
      </c>
      <c r="S79" s="1059">
        <f>S29-S78</f>
        <v>-357239</v>
      </c>
      <c r="T79" s="1074"/>
      <c r="U79" s="726">
        <f>U25-U78</f>
        <v>0</v>
      </c>
      <c r="V79" s="752">
        <f>V25-V78</f>
        <v>-76136.5</v>
      </c>
      <c r="W79" s="1059">
        <f>W25-W78</f>
        <v>-754304.83000000007</v>
      </c>
      <c r="X79" s="1059">
        <f>X29-X78</f>
        <v>-678168.33000000007</v>
      </c>
      <c r="Y79" s="1074"/>
      <c r="Z79" s="726">
        <f>Z25-Z78</f>
        <v>0</v>
      </c>
      <c r="AA79" s="958">
        <f>AA25-AA78</f>
        <v>353864.43999999994</v>
      </c>
      <c r="AB79" s="1059">
        <f>AB29-AB78</f>
        <v>1108169.27</v>
      </c>
      <c r="AC79" s="1074"/>
      <c r="AD79" s="1168"/>
      <c r="AE79" s="1178"/>
    </row>
    <row r="80" spans="1:31" ht="33" customHeight="1" thickBot="1" x14ac:dyDescent="0.35">
      <c r="A80" s="263" t="s">
        <v>167</v>
      </c>
      <c r="B80" s="448"/>
      <c r="C80" s="449"/>
      <c r="D80" s="449">
        <f>C80-B80</f>
        <v>0</v>
      </c>
      <c r="E80" s="253"/>
      <c r="F80" s="160"/>
      <c r="G80" s="450"/>
      <c r="H80" s="451"/>
      <c r="I80" s="449">
        <f>H80-G80</f>
        <v>0</v>
      </c>
      <c r="J80" s="264"/>
      <c r="K80" s="160"/>
      <c r="L80" s="752"/>
      <c r="M80" s="1059"/>
      <c r="N80" s="1049">
        <f>M80-L80</f>
        <v>0</v>
      </c>
      <c r="O80" s="257"/>
      <c r="P80" s="160"/>
      <c r="Q80" s="1064"/>
      <c r="R80" s="1067"/>
      <c r="S80" s="1059">
        <f>R80-Q80</f>
        <v>0</v>
      </c>
      <c r="T80" s="1078"/>
      <c r="U80" s="781"/>
      <c r="V80" s="1069"/>
      <c r="W80" s="1071"/>
      <c r="X80" s="1059"/>
      <c r="Y80" s="1074"/>
      <c r="Z80" s="954"/>
      <c r="AA80" s="1068"/>
      <c r="AB80" s="1059"/>
      <c r="AC80" s="1074"/>
      <c r="AD80" s="1168"/>
      <c r="AE80" s="1178"/>
    </row>
    <row r="81" spans="1:31" ht="19.5" thickBot="1" x14ac:dyDescent="0.35">
      <c r="A81" s="265" t="s">
        <v>168</v>
      </c>
      <c r="B81" s="448">
        <f>B79-B80</f>
        <v>-19034.5</v>
      </c>
      <c r="C81" s="448">
        <f t="shared" ref="C81:AA81" si="41">C79-C80</f>
        <v>-118778</v>
      </c>
      <c r="D81" s="448">
        <f t="shared" si="41"/>
        <v>-99743.5</v>
      </c>
      <c r="E81" s="1160"/>
      <c r="F81" s="727">
        <f t="shared" si="41"/>
        <v>0</v>
      </c>
      <c r="G81" s="448">
        <f t="shared" si="41"/>
        <v>-19034</v>
      </c>
      <c r="H81" s="448">
        <f>H79-H80</f>
        <v>-61517</v>
      </c>
      <c r="I81" s="448">
        <f t="shared" si="41"/>
        <v>-42483</v>
      </c>
      <c r="J81" s="726">
        <f>J79-J80</f>
        <v>0</v>
      </c>
      <c r="K81" s="756">
        <f t="shared" si="41"/>
        <v>0</v>
      </c>
      <c r="L81" s="752">
        <f t="shared" si="41"/>
        <v>-19034</v>
      </c>
      <c r="M81" s="1059">
        <f t="shared" si="41"/>
        <v>-197736.83000000002</v>
      </c>
      <c r="N81" s="1049">
        <f t="shared" si="41"/>
        <v>-178702.83</v>
      </c>
      <c r="O81" s="262">
        <f t="shared" si="41"/>
        <v>0</v>
      </c>
      <c r="P81" s="262">
        <f t="shared" si="41"/>
        <v>0</v>
      </c>
      <c r="Q81" s="752">
        <f t="shared" si="41"/>
        <v>-19034</v>
      </c>
      <c r="R81" s="1059">
        <f t="shared" si="41"/>
        <v>-376273</v>
      </c>
      <c r="S81" s="1059">
        <f t="shared" si="41"/>
        <v>-357239</v>
      </c>
      <c r="T81" s="1074">
        <f t="shared" si="41"/>
        <v>0</v>
      </c>
      <c r="U81" s="726">
        <f t="shared" si="41"/>
        <v>0</v>
      </c>
      <c r="V81" s="752">
        <f>V79-V80</f>
        <v>-76136.5</v>
      </c>
      <c r="W81" s="1059">
        <f t="shared" si="41"/>
        <v>-754304.83000000007</v>
      </c>
      <c r="X81" s="1059">
        <f>X79-X80</f>
        <v>-678168.33000000007</v>
      </c>
      <c r="Y81" s="1074">
        <f t="shared" si="41"/>
        <v>0</v>
      </c>
      <c r="Z81" s="262">
        <f t="shared" si="41"/>
        <v>0</v>
      </c>
      <c r="AA81" s="752">
        <f t="shared" si="41"/>
        <v>353864.43999999994</v>
      </c>
      <c r="AB81" s="1059">
        <f>AB79-AB80</f>
        <v>1108169.27</v>
      </c>
      <c r="AC81" s="1074">
        <f>AC79-AC80</f>
        <v>0</v>
      </c>
      <c r="AD81" s="1168"/>
      <c r="AE81" s="1178"/>
    </row>
    <row r="82" spans="1:31" ht="25.5" customHeight="1" x14ac:dyDescent="0.3">
      <c r="A82" s="158" t="s">
        <v>104</v>
      </c>
      <c r="B82" s="414"/>
      <c r="C82" s="415"/>
      <c r="D82" s="415">
        <f>B82-C82</f>
        <v>0</v>
      </c>
      <c r="E82" s="194"/>
      <c r="F82" s="230"/>
      <c r="G82" s="426"/>
      <c r="H82" s="427"/>
      <c r="I82" s="427">
        <f>G82-H82</f>
        <v>0</v>
      </c>
      <c r="J82" s="267" t="str">
        <f>IF(ISERROR(I82/G82),"-",I82/G82)</f>
        <v>-</v>
      </c>
      <c r="K82" s="230"/>
      <c r="L82" s="889"/>
      <c r="M82" s="891"/>
      <c r="N82" s="904">
        <f>L82-M82</f>
        <v>0</v>
      </c>
      <c r="O82" s="266" t="str">
        <f>IF(ISERROR(N82/L82),"-",N82/L82)</f>
        <v>-</v>
      </c>
      <c r="P82" s="230"/>
      <c r="Q82" s="1065"/>
      <c r="R82" s="1066"/>
      <c r="S82" s="1066">
        <f>Q82-R82</f>
        <v>0</v>
      </c>
      <c r="T82" s="1079" t="str">
        <f>IF(ISERROR(S82/Q82),"-",S82/Q82)</f>
        <v>-</v>
      </c>
      <c r="U82" s="785"/>
      <c r="V82" s="889">
        <f>B82+G82+L82+Q82</f>
        <v>0</v>
      </c>
      <c r="W82" s="891">
        <f>C82+H82+M82+R82</f>
        <v>0</v>
      </c>
      <c r="X82" s="891">
        <f>V82-W82</f>
        <v>0</v>
      </c>
      <c r="Y82" s="1075" t="str">
        <f>IF(ISERROR(X82/V82),"-",X82/V82)</f>
        <v>-</v>
      </c>
      <c r="Z82" s="230"/>
      <c r="AA82" s="889">
        <f>G82+L82+Q82+V82</f>
        <v>0</v>
      </c>
      <c r="AB82" s="891">
        <f>AA82-W82</f>
        <v>0</v>
      </c>
      <c r="AC82" s="1075" t="str">
        <f>IF(ISERROR(AB82/AA82),"-",AB82/AA82)</f>
        <v>-</v>
      </c>
      <c r="AD82" s="1164"/>
      <c r="AE82" s="1178"/>
    </row>
    <row r="83" spans="1:31" ht="29.25" customHeight="1" thickBot="1" x14ac:dyDescent="0.35">
      <c r="A83" s="268" t="s">
        <v>105</v>
      </c>
      <c r="B83" s="454">
        <f>B81-B82</f>
        <v>-19034.5</v>
      </c>
      <c r="C83" s="454">
        <f>C81-C82</f>
        <v>-118778</v>
      </c>
      <c r="D83" s="455">
        <f>C83-B83</f>
        <v>-99743.5</v>
      </c>
      <c r="E83" s="271">
        <f>IF(ISERROR(B83/D83),"-",B83/D83)</f>
        <v>0.19083449046805054</v>
      </c>
      <c r="F83" s="272"/>
      <c r="G83" s="454">
        <f>G81-G82</f>
        <v>-19034</v>
      </c>
      <c r="H83" s="454">
        <f>H81-H82</f>
        <v>-61517</v>
      </c>
      <c r="I83" s="455">
        <f>H83-G83</f>
        <v>-42483</v>
      </c>
      <c r="J83" s="271">
        <f>IF(ISERROR(I83/G83),"-",I83/G83)</f>
        <v>2.2319533466428498</v>
      </c>
      <c r="K83" s="272"/>
      <c r="L83" s="1047">
        <f>L81-L82</f>
        <v>-19034</v>
      </c>
      <c r="M83" s="1060">
        <f>M81-M82</f>
        <v>-197736.83000000002</v>
      </c>
      <c r="N83" s="1050">
        <f>M83-L83</f>
        <v>-178702.83000000002</v>
      </c>
      <c r="O83" s="271">
        <f>IF(ISERROR(N83/L83),"-",N83/L83)</f>
        <v>9.388611432174006</v>
      </c>
      <c r="P83" s="272"/>
      <c r="Q83" s="1047">
        <f>Q81-Q82</f>
        <v>-19034</v>
      </c>
      <c r="R83" s="1060">
        <f>R81-R82</f>
        <v>-376273</v>
      </c>
      <c r="S83" s="1060">
        <f>R83-Q83</f>
        <v>-357239</v>
      </c>
      <c r="T83" s="1080">
        <f>IF(ISERROR(S83/Q83),"-",S83/Q83)</f>
        <v>18.768466953872018</v>
      </c>
      <c r="U83" s="799"/>
      <c r="V83" s="1070">
        <f>V81-V82</f>
        <v>-76136.5</v>
      </c>
      <c r="W83" s="1072">
        <f>W81-W82</f>
        <v>-754304.83000000007</v>
      </c>
      <c r="X83" s="1060">
        <f>W83-V83</f>
        <v>-678168.33000000007</v>
      </c>
      <c r="Y83" s="1076">
        <f>IF(ISERROR(X83/V83),"-",X83/V83)</f>
        <v>8.9072695750395674</v>
      </c>
      <c r="Z83" s="272"/>
      <c r="AA83" s="1070">
        <f>AA81-AA82</f>
        <v>353864.43999999994</v>
      </c>
      <c r="AB83" s="1072">
        <f>AB81-AB82</f>
        <v>1108169.27</v>
      </c>
      <c r="AC83" s="1076">
        <f>IF(ISERROR(AB83/AA83),"-",AB83/AA83)</f>
        <v>3.1316208828442895</v>
      </c>
      <c r="AD83" s="1174"/>
      <c r="AE83" s="1186"/>
    </row>
  </sheetData>
  <sheetProtection algorithmName="SHA-512" hashValue="BUNC2uSybvgI8ag0i3Cd2OsO8/r3YRsO1w/HHpU+qxvolyg98uCBUo/0CGPJgej/XBIa/b/3bQhFT93zjwVKRg==" saltValue="I6W62jaEqkMkVA+7jMMf8Q==" spinCount="100000" sheet="1" objects="1" scenarios="1"/>
  <mergeCells count="19">
    <mergeCell ref="A7:H7"/>
    <mergeCell ref="A1:H1"/>
    <mergeCell ref="A3:H3"/>
    <mergeCell ref="A4:H4"/>
    <mergeCell ref="A5:H5"/>
    <mergeCell ref="A6:H6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pageMargins left="0.7" right="0.7" top="0.75" bottom="0.75" header="0.3" footer="0.3"/>
  <pageSetup paperSize="17" scale="43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S72"/>
  <sheetViews>
    <sheetView zoomScale="70" zoomScaleNormal="70" workbookViewId="0">
      <selection activeCell="E24" sqref="E24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325" customWidth="1"/>
    <col min="3" max="3" width="16.85546875" style="325" customWidth="1"/>
    <col min="4" max="4" width="18.140625" style="325" customWidth="1"/>
    <col min="5" max="5" width="17" style="325" customWidth="1"/>
    <col min="6" max="6" width="17.42578125" style="325" customWidth="1"/>
    <col min="7" max="18" width="8.85546875" style="46" customWidth="1"/>
    <col min="19" max="19" width="13.5703125" style="46" customWidth="1"/>
    <col min="20" max="231" width="8.85546875" style="46" customWidth="1"/>
    <col min="232" max="16384" width="8.85546875" style="46"/>
  </cols>
  <sheetData>
    <row r="1" spans="1:19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19" ht="15.75" customHeight="1" x14ac:dyDescent="0.3">
      <c r="A2" s="47"/>
      <c r="B2" s="327"/>
      <c r="C2" s="327"/>
      <c r="D2" s="327"/>
      <c r="E2" s="327"/>
      <c r="F2" s="327"/>
    </row>
    <row r="3" spans="1:19" s="49" customFormat="1" ht="18.75" customHeight="1" x14ac:dyDescent="0.3">
      <c r="A3" s="1767" t="s">
        <v>181</v>
      </c>
      <c r="B3" s="1768"/>
      <c r="C3" s="1768"/>
      <c r="D3" s="1768"/>
      <c r="E3" s="1768"/>
      <c r="F3" s="1768"/>
    </row>
    <row r="4" spans="1:19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19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19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19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19" ht="18.75" customHeight="1" thickBot="1" x14ac:dyDescent="0.35">
      <c r="A8" s="50"/>
      <c r="B8" s="328"/>
      <c r="C8" s="328"/>
      <c r="D8" s="328"/>
      <c r="E8" s="328"/>
      <c r="F8" s="328"/>
    </row>
    <row r="9" spans="1:19" ht="17.45" customHeight="1" x14ac:dyDescent="0.3">
      <c r="A9" s="52"/>
      <c r="B9" s="1187" t="s">
        <v>160</v>
      </c>
      <c r="C9" s="1188" t="s">
        <v>161</v>
      </c>
      <c r="D9" s="1187" t="s">
        <v>162</v>
      </c>
      <c r="E9" s="1188" t="s">
        <v>163</v>
      </c>
      <c r="F9" s="1187" t="s">
        <v>3</v>
      </c>
    </row>
    <row r="10" spans="1:19" ht="15" customHeight="1" x14ac:dyDescent="0.3">
      <c r="A10" s="1189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19" ht="15" customHeight="1" thickBot="1" x14ac:dyDescent="0.35">
      <c r="A11" s="1190"/>
      <c r="B11" s="323" t="s">
        <v>107</v>
      </c>
      <c r="C11" s="324" t="s">
        <v>107</v>
      </c>
      <c r="D11" s="323" t="s">
        <v>107</v>
      </c>
      <c r="E11" s="324" t="s">
        <v>107</v>
      </c>
      <c r="F11" s="323" t="s">
        <v>107</v>
      </c>
    </row>
    <row r="12" spans="1:19" ht="15" customHeight="1" x14ac:dyDescent="0.3">
      <c r="A12" s="1191" t="s">
        <v>4</v>
      </c>
      <c r="B12" s="339"/>
      <c r="C12" s="338"/>
      <c r="D12" s="339"/>
      <c r="E12" s="338"/>
      <c r="F12" s="339"/>
    </row>
    <row r="13" spans="1:19" ht="15" customHeight="1" x14ac:dyDescent="0.3">
      <c r="A13" s="61" t="s">
        <v>5</v>
      </c>
      <c r="B13" s="341"/>
      <c r="C13" s="343"/>
      <c r="D13" s="341"/>
      <c r="E13" s="343"/>
      <c r="F13" s="341"/>
    </row>
    <row r="14" spans="1:19" ht="15" customHeight="1" x14ac:dyDescent="0.3">
      <c r="A14" s="64" t="s">
        <v>6</v>
      </c>
      <c r="B14" s="341">
        <v>561290.55000000005</v>
      </c>
      <c r="C14" s="341">
        <v>453979.97</v>
      </c>
      <c r="D14" s="341">
        <v>300952.67</v>
      </c>
      <c r="E14" s="845">
        <v>518808.25</v>
      </c>
      <c r="F14" s="1671">
        <v>2681701.14</v>
      </c>
      <c r="G14" s="1772"/>
      <c r="H14" s="1773"/>
      <c r="I14" s="1773"/>
      <c r="J14" s="1773"/>
      <c r="K14" s="1773"/>
      <c r="L14" s="1773"/>
      <c r="M14" s="1773"/>
      <c r="N14" s="1773"/>
      <c r="O14" s="1773"/>
      <c r="P14" s="1773"/>
      <c r="Q14" s="1773"/>
      <c r="R14" s="1773"/>
      <c r="S14" s="1773"/>
    </row>
    <row r="15" spans="1:19" ht="15" customHeight="1" x14ac:dyDescent="0.3">
      <c r="A15" s="66" t="s">
        <v>7</v>
      </c>
      <c r="B15" s="341">
        <v>2141866.7999999998</v>
      </c>
      <c r="C15" s="341">
        <v>2109230.59</v>
      </c>
      <c r="D15" s="341">
        <v>2054858.35</v>
      </c>
      <c r="E15" s="845">
        <v>1962969.57</v>
      </c>
      <c r="F15" s="1671">
        <v>2019149.47</v>
      </c>
    </row>
    <row r="16" spans="1:19" ht="15" customHeight="1" x14ac:dyDescent="0.3">
      <c r="A16" s="66" t="s">
        <v>8</v>
      </c>
      <c r="B16" s="341">
        <v>650264.04</v>
      </c>
      <c r="C16" s="341">
        <v>724350.67999999993</v>
      </c>
      <c r="D16" s="341">
        <v>728673.64999999991</v>
      </c>
      <c r="E16" s="845">
        <f>385434.87+109826.57</f>
        <v>495261.44</v>
      </c>
      <c r="F16" s="1671">
        <f>452931.54+12354.14</f>
        <v>465285.68</v>
      </c>
    </row>
    <row r="17" spans="1:6" ht="15" customHeight="1" x14ac:dyDescent="0.3">
      <c r="A17" s="66" t="s">
        <v>9</v>
      </c>
      <c r="B17" s="341">
        <v>0</v>
      </c>
      <c r="C17" s="341">
        <v>0</v>
      </c>
      <c r="D17" s="341">
        <v>0</v>
      </c>
      <c r="E17" s="845">
        <v>0</v>
      </c>
      <c r="F17" s="1671">
        <v>0</v>
      </c>
    </row>
    <row r="18" spans="1:6" ht="15" customHeight="1" x14ac:dyDescent="0.3">
      <c r="A18" s="66" t="s">
        <v>10</v>
      </c>
      <c r="B18" s="341">
        <v>-688113.87</v>
      </c>
      <c r="C18" s="341">
        <v>-688113.87</v>
      </c>
      <c r="D18" s="341">
        <v>-688113.87</v>
      </c>
      <c r="E18" s="845">
        <f>-727822.23+39650.95+57.44</f>
        <v>-688113.84000000008</v>
      </c>
      <c r="F18" s="1671">
        <f>-727822.23+39650.95+57.44</f>
        <v>-688113.84000000008</v>
      </c>
    </row>
    <row r="19" spans="1:6" ht="15" customHeight="1" x14ac:dyDescent="0.3">
      <c r="A19" s="1192" t="s">
        <v>11</v>
      </c>
      <c r="B19" s="341">
        <v>0</v>
      </c>
      <c r="C19" s="341">
        <v>0</v>
      </c>
      <c r="D19" s="341">
        <v>0</v>
      </c>
      <c r="E19" s="1091">
        <v>0</v>
      </c>
      <c r="F19" s="1672">
        <v>0</v>
      </c>
    </row>
    <row r="20" spans="1:6" ht="15" customHeight="1" x14ac:dyDescent="0.3">
      <c r="A20" s="1193" t="s">
        <v>12</v>
      </c>
      <c r="B20" s="345">
        <f>SUM(B14:B19)</f>
        <v>2665307.5199999996</v>
      </c>
      <c r="C20" s="363">
        <f>SUM(C14:C19)</f>
        <v>2599447.3699999992</v>
      </c>
      <c r="D20" s="345">
        <f>SUM(D14:D19)</f>
        <v>2396370.7999999998</v>
      </c>
      <c r="E20" s="363">
        <f>SUM(E14:E19)</f>
        <v>2288925.42</v>
      </c>
      <c r="F20" s="345">
        <f>SUM(F14:F19)</f>
        <v>4478022.45</v>
      </c>
    </row>
    <row r="21" spans="1:6" ht="15" customHeight="1" x14ac:dyDescent="0.3">
      <c r="A21" s="1194"/>
      <c r="B21" s="348"/>
      <c r="C21" s="350"/>
      <c r="D21" s="348"/>
      <c r="E21" s="350"/>
      <c r="F21" s="348"/>
    </row>
    <row r="22" spans="1:6" ht="15" customHeight="1" x14ac:dyDescent="0.3">
      <c r="A22" s="69" t="s">
        <v>13</v>
      </c>
      <c r="B22" s="341"/>
      <c r="C22" s="343"/>
      <c r="D22" s="341"/>
      <c r="E22" s="343"/>
      <c r="F22" s="341"/>
    </row>
    <row r="23" spans="1:6" ht="15" customHeight="1" x14ac:dyDescent="0.3">
      <c r="A23" s="66" t="s">
        <v>14</v>
      </c>
      <c r="B23" s="341">
        <v>0</v>
      </c>
      <c r="C23" s="341">
        <v>0</v>
      </c>
      <c r="D23" s="341">
        <v>0</v>
      </c>
      <c r="E23" s="845">
        <v>0</v>
      </c>
      <c r="F23" s="1671">
        <v>0</v>
      </c>
    </row>
    <row r="24" spans="1:6" ht="15" customHeight="1" x14ac:dyDescent="0.3">
      <c r="A24" s="66" t="s">
        <v>15</v>
      </c>
      <c r="B24" s="341">
        <v>0</v>
      </c>
      <c r="C24" s="341">
        <v>0</v>
      </c>
      <c r="D24" s="341">
        <v>0</v>
      </c>
      <c r="E24" s="845">
        <v>0</v>
      </c>
      <c r="F24" s="1671">
        <v>0</v>
      </c>
    </row>
    <row r="25" spans="1:6" ht="15" customHeight="1" x14ac:dyDescent="0.3">
      <c r="A25" s="66" t="s">
        <v>16</v>
      </c>
      <c r="B25" s="341">
        <v>0</v>
      </c>
      <c r="C25" s="341">
        <v>0</v>
      </c>
      <c r="D25" s="341">
        <v>0</v>
      </c>
      <c r="E25" s="845">
        <v>0</v>
      </c>
      <c r="F25" s="1671">
        <v>0</v>
      </c>
    </row>
    <row r="26" spans="1:6" ht="15" customHeight="1" x14ac:dyDescent="0.3">
      <c r="A26" s="66" t="s">
        <v>17</v>
      </c>
      <c r="B26" s="341">
        <v>0</v>
      </c>
      <c r="C26" s="341">
        <v>0</v>
      </c>
      <c r="D26" s="341">
        <v>0</v>
      </c>
      <c r="E26" s="845">
        <v>0</v>
      </c>
      <c r="F26" s="1671">
        <v>0</v>
      </c>
    </row>
    <row r="27" spans="1:6" ht="15" customHeight="1" x14ac:dyDescent="0.3">
      <c r="A27" s="66" t="s">
        <v>119</v>
      </c>
      <c r="B27" s="341">
        <v>0</v>
      </c>
      <c r="C27" s="341">
        <v>0</v>
      </c>
      <c r="D27" s="341">
        <v>0</v>
      </c>
      <c r="E27" s="845">
        <v>0</v>
      </c>
      <c r="F27" s="1671">
        <v>0</v>
      </c>
    </row>
    <row r="28" spans="1:6" ht="15" customHeight="1" x14ac:dyDescent="0.3">
      <c r="A28" s="66" t="s">
        <v>118</v>
      </c>
      <c r="B28" s="341">
        <v>0</v>
      </c>
      <c r="C28" s="341">
        <v>0</v>
      </c>
      <c r="D28" s="341">
        <v>0</v>
      </c>
      <c r="E28" s="845">
        <v>0</v>
      </c>
      <c r="F28" s="1671">
        <v>0</v>
      </c>
    </row>
    <row r="29" spans="1:6" ht="15" customHeight="1" x14ac:dyDescent="0.3">
      <c r="A29" s="1192" t="s">
        <v>18</v>
      </c>
      <c r="B29" s="341">
        <v>0</v>
      </c>
      <c r="C29" s="341">
        <v>0</v>
      </c>
      <c r="D29" s="341">
        <v>0</v>
      </c>
      <c r="E29" s="1091">
        <v>0</v>
      </c>
      <c r="F29" s="1672">
        <v>0</v>
      </c>
    </row>
    <row r="30" spans="1:6" ht="15" customHeight="1" x14ac:dyDescent="0.3">
      <c r="A30" s="1193" t="s">
        <v>19</v>
      </c>
      <c r="B30" s="345">
        <f>SUM(B23:B29)</f>
        <v>0</v>
      </c>
      <c r="C30" s="363">
        <f>SUM(C23:C29)</f>
        <v>0</v>
      </c>
      <c r="D30" s="345">
        <f>SUM(D23:D29)</f>
        <v>0</v>
      </c>
      <c r="E30" s="363">
        <f>SUM(E23:E29)</f>
        <v>0</v>
      </c>
      <c r="F30" s="345">
        <f>SUM(F23:F29)</f>
        <v>0</v>
      </c>
    </row>
    <row r="31" spans="1:6" ht="15" customHeight="1" x14ac:dyDescent="0.3">
      <c r="A31" s="1194"/>
      <c r="B31" s="348"/>
      <c r="C31" s="350"/>
      <c r="D31" s="348"/>
      <c r="E31" s="350"/>
      <c r="F31" s="348"/>
    </row>
    <row r="32" spans="1:6" ht="15" customHeight="1" x14ac:dyDescent="0.3">
      <c r="A32" s="69" t="s">
        <v>20</v>
      </c>
      <c r="B32" s="352"/>
      <c r="C32" s="354"/>
      <c r="D32" s="352"/>
      <c r="E32" s="354"/>
      <c r="F32" s="352"/>
    </row>
    <row r="33" spans="1:6" ht="15" customHeight="1" x14ac:dyDescent="0.3">
      <c r="A33" s="78" t="s">
        <v>21</v>
      </c>
      <c r="B33" s="341">
        <v>717032.56</v>
      </c>
      <c r="C33" s="341">
        <v>569642.54</v>
      </c>
      <c r="D33" s="341">
        <v>569642.54</v>
      </c>
      <c r="E33" s="341">
        <v>569642.54</v>
      </c>
      <c r="F33" s="1673">
        <f>430579.14+139063.4-14981.09-69724.75</f>
        <v>484936.70000000007</v>
      </c>
    </row>
    <row r="34" spans="1:6" ht="15" customHeight="1" x14ac:dyDescent="0.3">
      <c r="A34" s="78" t="s">
        <v>22</v>
      </c>
      <c r="B34" s="341">
        <v>97697.22</v>
      </c>
      <c r="C34" s="341">
        <v>102309.32</v>
      </c>
      <c r="D34" s="341">
        <v>102309.32</v>
      </c>
      <c r="E34" s="341">
        <v>102309.32</v>
      </c>
      <c r="F34" s="1673">
        <f>102309.32+8413.82-10484.4</f>
        <v>100238.74000000002</v>
      </c>
    </row>
    <row r="35" spans="1:6" ht="15" customHeight="1" x14ac:dyDescent="0.3">
      <c r="A35" s="78" t="s">
        <v>23</v>
      </c>
      <c r="B35" s="341">
        <v>31981.35</v>
      </c>
      <c r="C35" s="341">
        <v>15743.03</v>
      </c>
      <c r="D35" s="341">
        <v>15743.03</v>
      </c>
      <c r="E35" s="341">
        <v>15743.03</v>
      </c>
      <c r="F35" s="1673">
        <f>15743.03+4457.23-22882.9</f>
        <v>-2682.6399999999994</v>
      </c>
    </row>
    <row r="36" spans="1:6" ht="15" customHeight="1" x14ac:dyDescent="0.3">
      <c r="A36" s="78" t="s">
        <v>24</v>
      </c>
      <c r="B36" s="341">
        <v>82674.680000000008</v>
      </c>
      <c r="C36" s="341">
        <v>75604.59</v>
      </c>
      <c r="D36" s="341">
        <v>76503.12</v>
      </c>
      <c r="E36" s="341">
        <v>76503.12</v>
      </c>
      <c r="F36" s="1674">
        <f>75604.59+898.53+2069.91-10893.77</f>
        <v>67679.259999999995</v>
      </c>
    </row>
    <row r="37" spans="1:6" ht="15" customHeight="1" x14ac:dyDescent="0.3">
      <c r="A37" s="78" t="s">
        <v>25</v>
      </c>
      <c r="B37" s="341">
        <v>97988.87999999999</v>
      </c>
      <c r="C37" s="341">
        <v>89064.960000000006</v>
      </c>
      <c r="D37" s="341">
        <v>89064.960000000006</v>
      </c>
      <c r="E37" s="341">
        <v>89064.960000000006</v>
      </c>
      <c r="F37" s="1673">
        <f>89064.96-21340.68</f>
        <v>67724.28</v>
      </c>
    </row>
    <row r="38" spans="1:6" ht="15" customHeight="1" x14ac:dyDescent="0.3">
      <c r="A38" s="1195" t="s">
        <v>26</v>
      </c>
      <c r="B38" s="341">
        <v>0</v>
      </c>
      <c r="C38" s="341">
        <v>0</v>
      </c>
      <c r="D38" s="341">
        <v>0</v>
      </c>
      <c r="E38" s="341">
        <v>0</v>
      </c>
      <c r="F38" s="1675">
        <v>0</v>
      </c>
    </row>
    <row r="39" spans="1:6" ht="15" customHeight="1" x14ac:dyDescent="0.3">
      <c r="A39" s="1193" t="s">
        <v>27</v>
      </c>
      <c r="B39" s="345">
        <f>SUM(B32:B38)</f>
        <v>1027374.6900000001</v>
      </c>
      <c r="C39" s="363">
        <f>SUM(C32:C38)</f>
        <v>852364.44000000006</v>
      </c>
      <c r="D39" s="345">
        <f>SUM(D32:D38)</f>
        <v>853262.97000000009</v>
      </c>
      <c r="E39" s="363">
        <f>SUM(E32:E38)</f>
        <v>853262.97000000009</v>
      </c>
      <c r="F39" s="345">
        <f>SUM(F32:F38)</f>
        <v>717896.34000000008</v>
      </c>
    </row>
    <row r="40" spans="1:6" ht="15" customHeight="1" x14ac:dyDescent="0.3">
      <c r="A40" s="1196"/>
      <c r="B40" s="357"/>
      <c r="C40" s="359"/>
      <c r="D40" s="357"/>
      <c r="E40" s="359"/>
      <c r="F40" s="357"/>
    </row>
    <row r="41" spans="1:6" ht="15" customHeight="1" x14ac:dyDescent="0.3">
      <c r="A41" s="61" t="s">
        <v>28</v>
      </c>
      <c r="B41" s="352">
        <v>0</v>
      </c>
      <c r="C41" s="352">
        <v>0</v>
      </c>
      <c r="D41" s="352">
        <v>0</v>
      </c>
      <c r="E41" s="352">
        <v>0</v>
      </c>
      <c r="F41" s="352">
        <v>0</v>
      </c>
    </row>
    <row r="42" spans="1:6" ht="15" customHeight="1" x14ac:dyDescent="0.3">
      <c r="A42" s="1197"/>
      <c r="B42" s="355"/>
      <c r="C42" s="355"/>
      <c r="D42" s="355"/>
      <c r="E42" s="355"/>
      <c r="F42" s="355"/>
    </row>
    <row r="43" spans="1:6" ht="15" customHeight="1" x14ac:dyDescent="0.3">
      <c r="A43" s="1193" t="s">
        <v>29</v>
      </c>
      <c r="B43" s="345">
        <f>B20+B30+B39+B41</f>
        <v>3692682.2099999995</v>
      </c>
      <c r="C43" s="363">
        <f>C20+C30+C39+C41</f>
        <v>3451811.8099999991</v>
      </c>
      <c r="D43" s="345">
        <f>D20+D30+D39+D41</f>
        <v>3249633.77</v>
      </c>
      <c r="E43" s="363">
        <f>E20+E30+E39+E41</f>
        <v>3142188.39</v>
      </c>
      <c r="F43" s="345">
        <f>F20+F30+F39+F41</f>
        <v>5195918.79</v>
      </c>
    </row>
    <row r="44" spans="1:6" ht="15" customHeight="1" x14ac:dyDescent="0.3">
      <c r="A44" s="1198"/>
      <c r="B44" s="365"/>
      <c r="C44" s="367"/>
      <c r="D44" s="365"/>
      <c r="E44" s="367"/>
      <c r="F44" s="365"/>
    </row>
    <row r="45" spans="1:6" ht="15" customHeight="1" x14ac:dyDescent="0.3">
      <c r="A45" s="61" t="s">
        <v>30</v>
      </c>
      <c r="B45" s="352"/>
      <c r="C45" s="354"/>
      <c r="D45" s="352"/>
      <c r="E45" s="354"/>
      <c r="F45" s="352"/>
    </row>
    <row r="46" spans="1:6" ht="15" customHeight="1" x14ac:dyDescent="0.3">
      <c r="A46" s="77"/>
      <c r="B46" s="352"/>
      <c r="C46" s="354"/>
      <c r="D46" s="352"/>
      <c r="E46" s="354"/>
      <c r="F46" s="352"/>
    </row>
    <row r="47" spans="1:6" ht="15" customHeight="1" x14ac:dyDescent="0.3">
      <c r="A47" s="61" t="s">
        <v>31</v>
      </c>
      <c r="B47" s="341"/>
      <c r="C47" s="343"/>
      <c r="D47" s="341"/>
      <c r="E47" s="343"/>
      <c r="F47" s="341"/>
    </row>
    <row r="48" spans="1:6" ht="15" customHeight="1" x14ac:dyDescent="0.3">
      <c r="A48" s="78" t="s">
        <v>32</v>
      </c>
      <c r="B48" s="341">
        <v>417394.72</v>
      </c>
      <c r="C48" s="341">
        <v>400450.32</v>
      </c>
      <c r="D48" s="341">
        <v>415634.29</v>
      </c>
      <c r="E48" s="341">
        <v>570676.97</v>
      </c>
      <c r="F48" s="1674">
        <v>693147.71</v>
      </c>
    </row>
    <row r="49" spans="1:6" ht="15" customHeight="1" x14ac:dyDescent="0.3">
      <c r="A49" s="79" t="s">
        <v>50</v>
      </c>
      <c r="B49" s="341">
        <v>0</v>
      </c>
      <c r="C49" s="341">
        <v>0</v>
      </c>
      <c r="D49" s="341">
        <v>0</v>
      </c>
      <c r="E49" s="341">
        <v>0</v>
      </c>
      <c r="F49" s="1674">
        <v>0</v>
      </c>
    </row>
    <row r="50" spans="1:6" ht="15" customHeight="1" x14ac:dyDescent="0.3">
      <c r="A50" s="79" t="s">
        <v>164</v>
      </c>
      <c r="B50" s="341">
        <v>0</v>
      </c>
      <c r="C50" s="341">
        <v>0</v>
      </c>
      <c r="D50" s="341">
        <v>0</v>
      </c>
      <c r="E50" s="341">
        <v>0</v>
      </c>
      <c r="F50" s="1674">
        <v>0</v>
      </c>
    </row>
    <row r="51" spans="1:6" ht="15" customHeight="1" x14ac:dyDescent="0.3">
      <c r="A51" s="79" t="s">
        <v>109</v>
      </c>
      <c r="B51" s="341">
        <v>0</v>
      </c>
      <c r="C51" s="341">
        <v>0</v>
      </c>
      <c r="D51" s="341">
        <v>0</v>
      </c>
      <c r="E51" s="341">
        <v>0</v>
      </c>
      <c r="F51" s="1674">
        <v>0</v>
      </c>
    </row>
    <row r="52" spans="1:6" ht="15" customHeight="1" x14ac:dyDescent="0.3">
      <c r="A52" s="79" t="s">
        <v>33</v>
      </c>
      <c r="B52" s="341">
        <v>11363.76</v>
      </c>
      <c r="C52" s="341">
        <v>11363.75</v>
      </c>
      <c r="D52" s="341">
        <v>12090.7</v>
      </c>
      <c r="E52" s="341">
        <v>12090.73</v>
      </c>
      <c r="F52" s="1674">
        <v>12475.75</v>
      </c>
    </row>
    <row r="53" spans="1:6" ht="15" customHeight="1" x14ac:dyDescent="0.3">
      <c r="A53" s="79" t="s">
        <v>34</v>
      </c>
      <c r="B53" s="341">
        <v>0</v>
      </c>
      <c r="C53" s="341">
        <v>0</v>
      </c>
      <c r="D53" s="341">
        <v>0</v>
      </c>
      <c r="E53" s="341">
        <v>0</v>
      </c>
      <c r="F53" s="1674">
        <v>0</v>
      </c>
    </row>
    <row r="54" spans="1:6" ht="15" customHeight="1" x14ac:dyDescent="0.3">
      <c r="A54" s="78" t="s">
        <v>35</v>
      </c>
      <c r="B54" s="341">
        <v>-275573.83</v>
      </c>
      <c r="C54" s="341">
        <v>-275573.83</v>
      </c>
      <c r="D54" s="341">
        <v>-288965.83</v>
      </c>
      <c r="E54" s="341">
        <v>-288965.83</v>
      </c>
      <c r="F54" s="1674">
        <v>-288835.83</v>
      </c>
    </row>
    <row r="55" spans="1:6" ht="15" customHeight="1" x14ac:dyDescent="0.3">
      <c r="A55" s="78" t="s">
        <v>36</v>
      </c>
      <c r="B55" s="341">
        <v>0</v>
      </c>
      <c r="C55" s="341">
        <v>0</v>
      </c>
      <c r="D55" s="341">
        <v>0</v>
      </c>
      <c r="E55" s="341">
        <v>0</v>
      </c>
      <c r="F55" s="1674">
        <v>0</v>
      </c>
    </row>
    <row r="56" spans="1:6" ht="15" customHeight="1" x14ac:dyDescent="0.3">
      <c r="A56" s="1195" t="s">
        <v>37</v>
      </c>
      <c r="B56" s="341">
        <v>52968.13</v>
      </c>
      <c r="C56" s="341">
        <v>57618.03</v>
      </c>
      <c r="D56" s="341">
        <v>81154.83</v>
      </c>
      <c r="E56" s="341">
        <v>89837.56</v>
      </c>
      <c r="F56" s="1675">
        <f>-134.1+53835.37-73623.12+16854.11+71913.27</f>
        <v>68845.530000000013</v>
      </c>
    </row>
    <row r="57" spans="1:6" ht="15" customHeight="1" x14ac:dyDescent="0.3">
      <c r="A57" s="1193" t="s">
        <v>38</v>
      </c>
      <c r="B57" s="345">
        <f>SUM(B48:B56)</f>
        <v>206152.77999999997</v>
      </c>
      <c r="C57" s="363">
        <f>SUM(C48:C56)</f>
        <v>193858.27</v>
      </c>
      <c r="D57" s="345">
        <f>SUM(D48:D56)</f>
        <v>219913.99</v>
      </c>
      <c r="E57" s="363">
        <f>SUM(E48:E56)</f>
        <v>383639.42999999993</v>
      </c>
      <c r="F57" s="345">
        <f>SUM(F48:F56)</f>
        <v>485633.16</v>
      </c>
    </row>
    <row r="58" spans="1:6" ht="15" customHeight="1" x14ac:dyDescent="0.3">
      <c r="A58" s="1199"/>
      <c r="B58" s="348"/>
      <c r="C58" s="350"/>
      <c r="D58" s="348"/>
      <c r="E58" s="350"/>
      <c r="F58" s="348"/>
    </row>
    <row r="59" spans="1:6" ht="15" customHeight="1" x14ac:dyDescent="0.3">
      <c r="A59" s="61" t="s">
        <v>39</v>
      </c>
      <c r="B59" s="352"/>
      <c r="C59" s="354"/>
      <c r="D59" s="352"/>
      <c r="E59" s="354"/>
      <c r="F59" s="352"/>
    </row>
    <row r="60" spans="1:6" ht="15" customHeight="1" x14ac:dyDescent="0.3">
      <c r="A60" s="78" t="s">
        <v>117</v>
      </c>
      <c r="B60" s="352">
        <v>0</v>
      </c>
      <c r="C60" s="352">
        <v>0</v>
      </c>
      <c r="D60" s="352">
        <v>0</v>
      </c>
      <c r="E60" s="354">
        <v>0</v>
      </c>
      <c r="F60" s="1674">
        <v>0</v>
      </c>
    </row>
    <row r="61" spans="1:6" ht="15" customHeight="1" x14ac:dyDescent="0.3">
      <c r="A61" s="78" t="s">
        <v>40</v>
      </c>
      <c r="B61" s="352">
        <v>0</v>
      </c>
      <c r="C61" s="352">
        <v>0</v>
      </c>
      <c r="D61" s="352">
        <v>0</v>
      </c>
      <c r="E61" s="354">
        <v>0</v>
      </c>
      <c r="F61" s="1674">
        <v>0</v>
      </c>
    </row>
    <row r="62" spans="1:6" ht="15" customHeight="1" x14ac:dyDescent="0.3">
      <c r="A62" s="1200"/>
      <c r="B62" s="355"/>
      <c r="C62" s="362"/>
      <c r="D62" s="355"/>
      <c r="E62" s="362"/>
      <c r="F62" s="355"/>
    </row>
    <row r="63" spans="1:6" ht="15" customHeight="1" x14ac:dyDescent="0.3">
      <c r="A63" s="1193" t="s">
        <v>41</v>
      </c>
      <c r="B63" s="345">
        <f>SUM(B60:B62)</f>
        <v>0</v>
      </c>
      <c r="C63" s="363">
        <f>SUM(C60:C62)</f>
        <v>0</v>
      </c>
      <c r="D63" s="345">
        <f>SUM(D60:D62)</f>
        <v>0</v>
      </c>
      <c r="E63" s="363">
        <f>SUM(E60:E62)</f>
        <v>0</v>
      </c>
      <c r="F63" s="345">
        <f>SUM(F60:F62)</f>
        <v>0</v>
      </c>
    </row>
    <row r="64" spans="1:6" ht="15" customHeight="1" x14ac:dyDescent="0.3">
      <c r="A64" s="1199"/>
      <c r="B64" s="348"/>
      <c r="C64" s="350"/>
      <c r="D64" s="348"/>
      <c r="E64" s="350"/>
      <c r="F64" s="348"/>
    </row>
    <row r="65" spans="1:6" ht="15" customHeight="1" x14ac:dyDescent="0.3">
      <c r="A65" s="61" t="s">
        <v>42</v>
      </c>
      <c r="B65" s="352"/>
      <c r="C65" s="354"/>
      <c r="D65" s="352"/>
      <c r="E65" s="354"/>
      <c r="F65" s="352"/>
    </row>
    <row r="66" spans="1:6" ht="15" customHeight="1" x14ac:dyDescent="0.3">
      <c r="A66" s="78" t="s">
        <v>43</v>
      </c>
      <c r="B66" s="341">
        <v>4586771.5399999991</v>
      </c>
      <c r="C66" s="341">
        <v>3237873.98</v>
      </c>
      <c r="D66" s="341">
        <v>3231051.68</v>
      </c>
      <c r="E66" s="341">
        <v>3087871.1</v>
      </c>
      <c r="F66" s="1674">
        <f>3006279.7-35754.94</f>
        <v>2970524.7600000002</v>
      </c>
    </row>
    <row r="67" spans="1:6" ht="15" customHeight="1" x14ac:dyDescent="0.3">
      <c r="A67" s="78" t="s">
        <v>44</v>
      </c>
      <c r="B67" s="341">
        <v>0</v>
      </c>
      <c r="C67" s="341">
        <v>0</v>
      </c>
      <c r="D67" s="341">
        <v>0</v>
      </c>
      <c r="E67" s="341">
        <v>0</v>
      </c>
      <c r="F67" s="1674">
        <v>0</v>
      </c>
    </row>
    <row r="68" spans="1:6" ht="15" customHeight="1" x14ac:dyDescent="0.3">
      <c r="A68" s="78" t="s">
        <v>45</v>
      </c>
      <c r="B68" s="341">
        <v>0</v>
      </c>
      <c r="C68" s="341">
        <v>0</v>
      </c>
      <c r="D68" s="341">
        <v>0</v>
      </c>
      <c r="E68" s="341">
        <v>0</v>
      </c>
      <c r="F68" s="1674">
        <v>0</v>
      </c>
    </row>
    <row r="69" spans="1:6" ht="15" customHeight="1" x14ac:dyDescent="0.3">
      <c r="A69" s="1195" t="s">
        <v>46</v>
      </c>
      <c r="B69" s="341">
        <v>-1100674.02</v>
      </c>
      <c r="C69" s="341">
        <v>20079.43</v>
      </c>
      <c r="D69" s="341">
        <v>-201332.03</v>
      </c>
      <c r="E69" s="341">
        <v>-329322.27</v>
      </c>
      <c r="F69" s="1675">
        <v>1743737.92</v>
      </c>
    </row>
    <row r="70" spans="1:6" ht="15" customHeight="1" x14ac:dyDescent="0.3">
      <c r="A70" s="1193" t="s">
        <v>47</v>
      </c>
      <c r="B70" s="345">
        <f>SUM(B66:B69)</f>
        <v>3486097.5199999991</v>
      </c>
      <c r="C70" s="363">
        <f>SUM(C66:C69)</f>
        <v>3257953.41</v>
      </c>
      <c r="D70" s="345">
        <f>SUM(D66:D69)</f>
        <v>3029719.6500000004</v>
      </c>
      <c r="E70" s="363">
        <f>SUM(E66:E69)</f>
        <v>2758548.83</v>
      </c>
      <c r="F70" s="345">
        <f>SUM(F66:F69)</f>
        <v>4714262.68</v>
      </c>
    </row>
    <row r="71" spans="1:6" ht="15.75" customHeight="1" x14ac:dyDescent="0.3">
      <c r="A71" s="1201"/>
      <c r="B71" s="373"/>
      <c r="C71" s="375"/>
      <c r="D71" s="373"/>
      <c r="E71" s="375"/>
      <c r="F71" s="373"/>
    </row>
    <row r="72" spans="1:6" ht="16.5" customHeight="1" thickBot="1" x14ac:dyDescent="0.35">
      <c r="A72" s="1202" t="s">
        <v>48</v>
      </c>
      <c r="B72" s="377">
        <f>B70+B63+B57</f>
        <v>3692250.2999999989</v>
      </c>
      <c r="C72" s="1203">
        <f>C70+C63+C57</f>
        <v>3451811.68</v>
      </c>
      <c r="D72" s="377">
        <f>D70+D63+D57</f>
        <v>3249633.6400000006</v>
      </c>
      <c r="E72" s="1203">
        <f>E70+E63+E57</f>
        <v>3142188.26</v>
      </c>
      <c r="F72" s="377">
        <f>F70+F63+F57</f>
        <v>5199895.84</v>
      </c>
    </row>
  </sheetData>
  <sheetProtection algorithmName="SHA-512" hashValue="vSf2XplzlmxZknp8JRxnL4jPjfxIZssK54WzvxkkoGwZQjesadCvQuG8f1MVEgW6sdu62ldv4/B8pRmPHdDeDQ==" saltValue="i1/kyr7xP0gJJdNyRyIclA==" spinCount="100000" sheet="1" objects="1" scenarios="1"/>
  <mergeCells count="7">
    <mergeCell ref="G14:S14"/>
    <mergeCell ref="A1:F1"/>
    <mergeCell ref="A3:F3"/>
    <mergeCell ref="A4:F4"/>
    <mergeCell ref="A5:F5"/>
    <mergeCell ref="A6:F6"/>
    <mergeCell ref="A7:F7"/>
  </mergeCells>
  <pageMargins left="0.7" right="0.7" top="0.75" bottom="0.75" header="0.3" footer="0.3"/>
  <pageSetup scale="3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AG83"/>
  <sheetViews>
    <sheetView zoomScale="70" zoomScaleNormal="70" zoomScalePageLayoutView="8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S22" sqref="S22"/>
    </sheetView>
  </sheetViews>
  <sheetFormatPr defaultRowHeight="18.75" x14ac:dyDescent="0.3"/>
  <cols>
    <col min="1" max="1" width="64.85546875" style="46" customWidth="1"/>
    <col min="2" max="3" width="14.140625" style="379" customWidth="1"/>
    <col min="4" max="4" width="13.140625" style="379" customWidth="1"/>
    <col min="5" max="5" width="13.140625" style="276" customWidth="1"/>
    <col min="6" max="6" width="1" style="46" customWidth="1"/>
    <col min="7" max="7" width="14.5703125" style="379" customWidth="1"/>
    <col min="8" max="8" width="14.28515625" style="379" customWidth="1"/>
    <col min="9" max="9" width="12.140625" style="379" customWidth="1"/>
    <col min="10" max="10" width="12.42578125" style="276" customWidth="1"/>
    <col min="11" max="11" width="1.140625" style="46" customWidth="1"/>
    <col min="12" max="12" width="14" style="379" customWidth="1"/>
    <col min="13" max="13" width="14.140625" style="379" customWidth="1"/>
    <col min="14" max="14" width="12.85546875" style="379" customWidth="1"/>
    <col min="15" max="15" width="9.7109375" style="277" customWidth="1"/>
    <col min="16" max="16" width="1" style="46" customWidth="1"/>
    <col min="17" max="17" width="13.85546875" style="379" customWidth="1"/>
    <col min="18" max="18" width="13.140625" style="379" customWidth="1"/>
    <col min="19" max="19" width="12.85546875" style="379" customWidth="1"/>
    <col min="20" max="20" width="9.85546875" style="277" customWidth="1"/>
    <col min="21" max="21" width="1.28515625" style="46" customWidth="1"/>
    <col min="22" max="22" width="14.28515625" style="379" customWidth="1"/>
    <col min="23" max="23" width="14.140625" style="379" customWidth="1"/>
    <col min="24" max="24" width="13" style="379" customWidth="1"/>
    <col min="25" max="25" width="14.85546875" style="277" customWidth="1"/>
    <col min="26" max="26" width="1" style="46" customWidth="1"/>
    <col min="27" max="27" width="16.28515625" style="379" customWidth="1"/>
    <col min="28" max="28" width="13.7109375" style="379" customWidth="1"/>
    <col min="29" max="29" width="11.570312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1749" t="s">
        <v>49</v>
      </c>
      <c r="B1" s="1750"/>
      <c r="C1" s="1750"/>
      <c r="D1" s="1750"/>
      <c r="E1" s="1750"/>
      <c r="F1" s="1750"/>
      <c r="G1" s="1750"/>
      <c r="H1" s="1750"/>
      <c r="I1" s="380"/>
      <c r="J1" s="84"/>
      <c r="K1" s="85"/>
      <c r="L1" s="381"/>
      <c r="M1" s="381"/>
      <c r="N1" s="381"/>
      <c r="O1" s="87"/>
      <c r="P1" s="116"/>
      <c r="Q1" s="380"/>
      <c r="R1" s="382"/>
      <c r="S1" s="394"/>
      <c r="T1" s="89"/>
      <c r="U1" s="116"/>
      <c r="V1" s="395"/>
      <c r="W1" s="395"/>
      <c r="X1" s="395"/>
      <c r="Y1" s="119"/>
      <c r="Z1" s="116"/>
      <c r="AA1" s="395"/>
      <c r="AB1" s="395"/>
      <c r="AC1" s="119"/>
      <c r="AD1" s="116"/>
      <c r="AE1" s="120"/>
    </row>
    <row r="2" spans="1:3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93"/>
      <c r="V2" s="397"/>
      <c r="W2" s="397"/>
      <c r="X2" s="397"/>
      <c r="Y2" s="124"/>
      <c r="Z2" s="93"/>
      <c r="AA2" s="397"/>
      <c r="AB2" s="397"/>
      <c r="AC2" s="124"/>
      <c r="AD2" s="93"/>
      <c r="AE2" s="125"/>
    </row>
    <row r="3" spans="1:31" s="49" customFormat="1" x14ac:dyDescent="0.3">
      <c r="A3" s="1751" t="s">
        <v>181</v>
      </c>
      <c r="B3" s="1752"/>
      <c r="C3" s="1752"/>
      <c r="D3" s="1752"/>
      <c r="E3" s="1752"/>
      <c r="F3" s="1752"/>
      <c r="G3" s="1752"/>
      <c r="H3" s="1752"/>
      <c r="I3" s="385"/>
      <c r="J3" s="98"/>
      <c r="K3" s="99"/>
      <c r="L3" s="386"/>
      <c r="M3" s="386"/>
      <c r="N3" s="386"/>
      <c r="O3" s="101"/>
      <c r="P3" s="126"/>
      <c r="Q3" s="385"/>
      <c r="R3" s="387"/>
      <c r="S3" s="393"/>
      <c r="T3" s="103"/>
      <c r="U3" s="126"/>
      <c r="V3" s="398"/>
      <c r="W3" s="398"/>
      <c r="X3" s="398"/>
      <c r="Y3" s="128"/>
      <c r="Z3" s="126"/>
      <c r="AA3" s="398"/>
      <c r="AB3" s="398"/>
      <c r="AC3" s="128"/>
      <c r="AD3" s="126"/>
      <c r="AE3" s="129"/>
    </row>
    <row r="4" spans="1:31" x14ac:dyDescent="0.3">
      <c r="A4" s="1753" t="s">
        <v>51</v>
      </c>
      <c r="B4" s="1754"/>
      <c r="C4" s="1754"/>
      <c r="D4" s="1754"/>
      <c r="E4" s="1754"/>
      <c r="F4" s="1754"/>
      <c r="G4" s="1754"/>
      <c r="H4" s="1754"/>
      <c r="I4" s="383"/>
      <c r="J4" s="91"/>
      <c r="K4" s="104"/>
      <c r="L4" s="388"/>
      <c r="M4" s="388"/>
      <c r="N4" s="388"/>
      <c r="O4" s="106"/>
      <c r="P4" s="130"/>
      <c r="Q4" s="389"/>
      <c r="R4" s="390"/>
      <c r="S4" s="396"/>
      <c r="T4" s="109"/>
      <c r="U4" s="130"/>
      <c r="V4" s="397"/>
      <c r="W4" s="397"/>
      <c r="X4" s="397"/>
      <c r="Y4" s="124"/>
      <c r="Z4" s="130"/>
      <c r="AA4" s="397"/>
      <c r="AB4" s="397"/>
      <c r="AC4" s="124"/>
      <c r="AD4" s="130"/>
      <c r="AE4" s="125"/>
    </row>
    <row r="5" spans="1:31" x14ac:dyDescent="0.3">
      <c r="A5" s="1753" t="s">
        <v>52</v>
      </c>
      <c r="B5" s="1755"/>
      <c r="C5" s="1755"/>
      <c r="D5" s="1755"/>
      <c r="E5" s="1755"/>
      <c r="F5" s="1755"/>
      <c r="G5" s="1755"/>
      <c r="H5" s="1755"/>
      <c r="I5" s="383"/>
      <c r="J5" s="91"/>
      <c r="K5" s="104"/>
      <c r="L5" s="388"/>
      <c r="M5" s="388"/>
      <c r="N5" s="388"/>
      <c r="O5" s="106"/>
      <c r="P5" s="130"/>
      <c r="Q5" s="389"/>
      <c r="R5" s="390"/>
      <c r="S5" s="396"/>
      <c r="T5" s="109"/>
      <c r="U5" s="130"/>
      <c r="V5" s="397"/>
      <c r="W5" s="397"/>
      <c r="X5" s="397"/>
      <c r="Y5" s="124"/>
      <c r="Z5" s="130"/>
      <c r="AA5" s="397"/>
      <c r="AB5" s="397"/>
      <c r="AC5" s="124"/>
      <c r="AD5" s="130"/>
      <c r="AE5" s="125"/>
    </row>
    <row r="6" spans="1:31" s="49" customFormat="1" x14ac:dyDescent="0.3">
      <c r="A6" s="1751" t="s">
        <v>191</v>
      </c>
      <c r="B6" s="1771"/>
      <c r="C6" s="1771"/>
      <c r="D6" s="1771"/>
      <c r="E6" s="1771"/>
      <c r="F6" s="1771"/>
      <c r="G6" s="1771"/>
      <c r="H6" s="1771"/>
      <c r="I6" s="385"/>
      <c r="J6" s="98"/>
      <c r="K6" s="110"/>
      <c r="L6" s="391"/>
      <c r="M6" s="391"/>
      <c r="N6" s="391"/>
      <c r="O6" s="112"/>
      <c r="P6" s="126"/>
      <c r="Q6" s="392"/>
      <c r="R6" s="393"/>
      <c r="S6" s="393"/>
      <c r="T6" s="115"/>
      <c r="U6" s="126"/>
      <c r="V6" s="398"/>
      <c r="W6" s="398"/>
      <c r="X6" s="398"/>
      <c r="Y6" s="128"/>
      <c r="Z6" s="126"/>
      <c r="AA6" s="386"/>
      <c r="AB6" s="386"/>
      <c r="AC6" s="128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385"/>
      <c r="J7" s="98"/>
      <c r="K7" s="110"/>
      <c r="L7" s="391"/>
      <c r="M7" s="391"/>
      <c r="N7" s="391"/>
      <c r="O7" s="112"/>
      <c r="P7" s="126"/>
      <c r="Q7" s="392"/>
      <c r="R7" s="393"/>
      <c r="S7" s="393"/>
      <c r="T7" s="115"/>
      <c r="U7" s="126"/>
      <c r="V7" s="398"/>
      <c r="W7" s="398"/>
      <c r="X7" s="398"/>
      <c r="Y7" s="128"/>
      <c r="Z7" s="126"/>
      <c r="AA7" s="398"/>
      <c r="AB7" s="398"/>
      <c r="AC7" s="128"/>
      <c r="AD7" s="126"/>
      <c r="AE7" s="129"/>
    </row>
    <row r="8" spans="1:31" ht="19.5" thickBot="1" x14ac:dyDescent="0.35">
      <c r="A8" s="467" t="s">
        <v>182</v>
      </c>
      <c r="B8" s="399"/>
      <c r="C8" s="397"/>
      <c r="D8" s="397"/>
      <c r="E8" s="133"/>
      <c r="F8" s="130"/>
      <c r="G8" s="397"/>
      <c r="H8" s="397"/>
      <c r="I8" s="397"/>
      <c r="J8" s="133"/>
      <c r="K8" s="130"/>
      <c r="L8" s="397"/>
      <c r="M8" s="397"/>
      <c r="N8" s="397"/>
      <c r="O8" s="124"/>
      <c r="P8" s="130"/>
      <c r="Q8" s="397"/>
      <c r="R8" s="397"/>
      <c r="S8" s="397"/>
      <c r="T8" s="124"/>
      <c r="U8" s="130"/>
      <c r="V8" s="397"/>
      <c r="W8" s="397"/>
      <c r="X8" s="397"/>
      <c r="Y8" s="124"/>
      <c r="Z8" s="130"/>
      <c r="AA8" s="397"/>
      <c r="AB8" s="397"/>
      <c r="AC8" s="124"/>
      <c r="AD8" s="130"/>
      <c r="AE8" s="125"/>
    </row>
    <row r="9" spans="1:31" x14ac:dyDescent="0.3">
      <c r="A9" s="1251"/>
      <c r="B9" s="1720" t="s">
        <v>53</v>
      </c>
      <c r="C9" s="1717"/>
      <c r="D9" s="1718"/>
      <c r="E9" s="1719"/>
      <c r="F9" s="1239"/>
      <c r="G9" s="1720" t="s">
        <v>54</v>
      </c>
      <c r="H9" s="1717"/>
      <c r="I9" s="1717"/>
      <c r="J9" s="1721"/>
      <c r="K9" s="1238"/>
      <c r="L9" s="1770" t="s">
        <v>55</v>
      </c>
      <c r="M9" s="1723"/>
      <c r="N9" s="1723"/>
      <c r="O9" s="1724"/>
      <c r="P9" s="1239"/>
      <c r="Q9" s="1725" t="s">
        <v>56</v>
      </c>
      <c r="R9" s="1718"/>
      <c r="S9" s="1718"/>
      <c r="T9" s="1719"/>
      <c r="U9" s="794"/>
      <c r="V9" s="1745" t="s">
        <v>57</v>
      </c>
      <c r="W9" s="1727"/>
      <c r="X9" s="1727"/>
      <c r="Y9" s="1727"/>
      <c r="Z9" s="794"/>
      <c r="AA9" s="1726" t="s">
        <v>190</v>
      </c>
      <c r="AB9" s="1727"/>
      <c r="AC9" s="1746"/>
      <c r="AD9" s="1239"/>
      <c r="AE9" s="1738" t="s">
        <v>58</v>
      </c>
    </row>
    <row r="10" spans="1:31" ht="37.5" x14ac:dyDescent="0.3">
      <c r="A10" s="1252" t="s">
        <v>59</v>
      </c>
      <c r="B10" s="912" t="s">
        <v>60</v>
      </c>
      <c r="C10" s="400" t="s">
        <v>61</v>
      </c>
      <c r="D10" s="1710" t="s">
        <v>62</v>
      </c>
      <c r="E10" s="1711"/>
      <c r="F10" s="139"/>
      <c r="G10" s="912" t="s">
        <v>60</v>
      </c>
      <c r="H10" s="400" t="s">
        <v>61</v>
      </c>
      <c r="I10" s="1712" t="s">
        <v>62</v>
      </c>
      <c r="J10" s="1713"/>
      <c r="K10" s="795"/>
      <c r="L10" s="914" t="s">
        <v>60</v>
      </c>
      <c r="M10" s="400" t="s">
        <v>61</v>
      </c>
      <c r="N10" s="1712" t="s">
        <v>62</v>
      </c>
      <c r="O10" s="1774"/>
      <c r="P10" s="795"/>
      <c r="Q10" s="401" t="s">
        <v>60</v>
      </c>
      <c r="R10" s="402" t="s">
        <v>61</v>
      </c>
      <c r="S10" s="1714" t="s">
        <v>62</v>
      </c>
      <c r="T10" s="1711"/>
      <c r="U10" s="795"/>
      <c r="V10" s="401" t="s">
        <v>60</v>
      </c>
      <c r="W10" s="402" t="s">
        <v>61</v>
      </c>
      <c r="X10" s="1714" t="s">
        <v>62</v>
      </c>
      <c r="Y10" s="1715"/>
      <c r="Z10" s="795"/>
      <c r="AA10" s="1246" t="s">
        <v>63</v>
      </c>
      <c r="AB10" s="1714" t="s">
        <v>64</v>
      </c>
      <c r="AC10" s="1711"/>
      <c r="AD10" s="139"/>
      <c r="AE10" s="1739"/>
    </row>
    <row r="11" spans="1:31" ht="19.5" thickBot="1" x14ac:dyDescent="0.35">
      <c r="A11" s="1253"/>
      <c r="B11" s="1158" t="s">
        <v>107</v>
      </c>
      <c r="C11" s="404" t="s">
        <v>107</v>
      </c>
      <c r="D11" s="1159" t="s">
        <v>107</v>
      </c>
      <c r="E11" s="145" t="s">
        <v>65</v>
      </c>
      <c r="F11" s="796"/>
      <c r="G11" s="913" t="s">
        <v>107</v>
      </c>
      <c r="H11" s="404" t="s">
        <v>107</v>
      </c>
      <c r="I11" s="405" t="s">
        <v>107</v>
      </c>
      <c r="J11" s="145" t="s">
        <v>65</v>
      </c>
      <c r="K11" s="796"/>
      <c r="L11" s="913" t="s">
        <v>107</v>
      </c>
      <c r="M11" s="404" t="s">
        <v>107</v>
      </c>
      <c r="N11" s="405" t="s">
        <v>107</v>
      </c>
      <c r="O11" s="920" t="s">
        <v>65</v>
      </c>
      <c r="P11" s="146"/>
      <c r="Q11" s="406" t="s">
        <v>107</v>
      </c>
      <c r="R11" s="407" t="s">
        <v>107</v>
      </c>
      <c r="S11" s="408" t="s">
        <v>107</v>
      </c>
      <c r="T11" s="152" t="s">
        <v>65</v>
      </c>
      <c r="U11" s="796"/>
      <c r="V11" s="406" t="s">
        <v>107</v>
      </c>
      <c r="W11" s="407" t="s">
        <v>107</v>
      </c>
      <c r="X11" s="408" t="s">
        <v>107</v>
      </c>
      <c r="Y11" s="1209" t="s">
        <v>65</v>
      </c>
      <c r="Z11" s="796"/>
      <c r="AA11" s="946" t="s">
        <v>107</v>
      </c>
      <c r="AB11" s="408" t="s">
        <v>107</v>
      </c>
      <c r="AC11" s="152" t="s">
        <v>65</v>
      </c>
      <c r="AD11" s="146"/>
      <c r="AE11" s="1739"/>
    </row>
    <row r="12" spans="1:31" x14ac:dyDescent="0.3">
      <c r="A12" s="1254"/>
      <c r="B12" s="1004"/>
      <c r="C12" s="409"/>
      <c r="D12" s="410"/>
      <c r="E12" s="919"/>
      <c r="F12" s="780"/>
      <c r="G12" s="915"/>
      <c r="H12" s="409"/>
      <c r="I12" s="410"/>
      <c r="J12" s="919"/>
      <c r="K12" s="780"/>
      <c r="L12" s="915"/>
      <c r="M12" s="409"/>
      <c r="N12" s="410"/>
      <c r="O12" s="729"/>
      <c r="P12" s="797"/>
      <c r="Q12" s="411"/>
      <c r="R12" s="410"/>
      <c r="S12" s="410"/>
      <c r="T12" s="729"/>
      <c r="U12" s="962"/>
      <c r="V12" s="411"/>
      <c r="W12" s="410"/>
      <c r="X12" s="410"/>
      <c r="Y12" s="764"/>
      <c r="Z12" s="797"/>
      <c r="AA12" s="411"/>
      <c r="AB12" s="410"/>
      <c r="AC12" s="764"/>
      <c r="AD12" s="1662"/>
      <c r="AE12" s="1175"/>
    </row>
    <row r="13" spans="1:31" x14ac:dyDescent="0.3">
      <c r="A13" s="1256" t="s">
        <v>66</v>
      </c>
      <c r="B13" s="413"/>
      <c r="C13" s="412"/>
      <c r="D13" s="412"/>
      <c r="E13" s="925"/>
      <c r="F13" s="781"/>
      <c r="G13" s="908"/>
      <c r="H13" s="412"/>
      <c r="I13" s="412"/>
      <c r="J13" s="925"/>
      <c r="K13" s="781"/>
      <c r="L13" s="908"/>
      <c r="M13" s="412"/>
      <c r="N13" s="412"/>
      <c r="O13" s="730"/>
      <c r="P13" s="781"/>
      <c r="Q13" s="908"/>
      <c r="R13" s="412"/>
      <c r="S13" s="412"/>
      <c r="T13" s="730"/>
      <c r="U13" s="781"/>
      <c r="V13" s="908"/>
      <c r="W13" s="412"/>
      <c r="X13" s="412"/>
      <c r="Y13" s="765"/>
      <c r="Z13" s="950"/>
      <c r="AA13" s="908"/>
      <c r="AB13" s="412"/>
      <c r="AC13" s="765"/>
      <c r="AD13" s="1168"/>
      <c r="AE13" s="1176"/>
    </row>
    <row r="14" spans="1:31" x14ac:dyDescent="0.3">
      <c r="A14" s="1106" t="s">
        <v>132</v>
      </c>
      <c r="B14" s="414">
        <v>272828.5</v>
      </c>
      <c r="C14" s="1703">
        <v>433192.04</v>
      </c>
      <c r="D14" s="416">
        <f>C14-B14</f>
        <v>160363.53999999998</v>
      </c>
      <c r="E14" s="926">
        <f>IF(ISERROR(D14/B14),"-",D14/B14)</f>
        <v>0.58778148177334844</v>
      </c>
      <c r="F14" s="782"/>
      <c r="G14" s="567">
        <v>272828.5</v>
      </c>
      <c r="H14" s="415">
        <v>378721.49</v>
      </c>
      <c r="I14" s="416">
        <f>H14-G14</f>
        <v>105892.98999999999</v>
      </c>
      <c r="J14" s="926">
        <f t="shared" ref="J14:J24" si="0">IF(ISERROR(I14/G14),"-",I14/G14)</f>
        <v>0.38813023566086385</v>
      </c>
      <c r="K14" s="782"/>
      <c r="L14" s="567">
        <v>272828.5</v>
      </c>
      <c r="M14" s="415">
        <v>221391.44</v>
      </c>
      <c r="N14" s="416">
        <f>M14-L14</f>
        <v>-51437.06</v>
      </c>
      <c r="O14" s="731">
        <f t="shared" ref="O14:O25" si="1">IF(ISERROR(N14/L14),"-",N14/L14)</f>
        <v>-0.18853257632542053</v>
      </c>
      <c r="P14" s="782"/>
      <c r="Q14" s="1703">
        <v>272828.5</v>
      </c>
      <c r="R14" s="1703">
        <f>38060.61+265781.16</f>
        <v>303841.76999999996</v>
      </c>
      <c r="S14" s="416">
        <f>R14-Q14</f>
        <v>31013.26999999996</v>
      </c>
      <c r="T14" s="731">
        <f t="shared" ref="T14:T29" si="2">IF(ISERROR(S14/Q14),"-",S14/Q14)</f>
        <v>0.11367313165596689</v>
      </c>
      <c r="U14" s="782"/>
      <c r="V14" s="414">
        <f>B14+G14+L14+Q14</f>
        <v>1091314</v>
      </c>
      <c r="W14" s="415">
        <f>C14+H14+M14+R14</f>
        <v>1337146.74</v>
      </c>
      <c r="X14" s="416">
        <f>W14-V14</f>
        <v>245832.74</v>
      </c>
      <c r="Y14" s="766">
        <f t="shared" ref="Y14:Y20" si="3">IF(ISERROR(X14/V14),"-",X14/V14)</f>
        <v>0.22526306819118969</v>
      </c>
      <c r="Z14" s="951"/>
      <c r="AA14" s="1682">
        <v>1244316</v>
      </c>
      <c r="AB14" s="416">
        <f>AA14-W14</f>
        <v>-92830.739999999991</v>
      </c>
      <c r="AC14" s="766">
        <f t="shared" ref="AC14:AC25" si="4">IF(ISERROR(AB14/AA14),"-",AB14/AA14)</f>
        <v>-7.4603830538223406E-2</v>
      </c>
      <c r="AD14" s="1162"/>
      <c r="AE14" s="1178"/>
    </row>
    <row r="15" spans="1:31" x14ac:dyDescent="0.3">
      <c r="A15" s="1096" t="s">
        <v>111</v>
      </c>
      <c r="B15" s="414">
        <v>0</v>
      </c>
      <c r="C15" s="567">
        <v>0</v>
      </c>
      <c r="D15" s="416">
        <f t="shared" ref="D15:D24" si="5">C15-B15</f>
        <v>0</v>
      </c>
      <c r="E15" s="926" t="str">
        <f t="shared" ref="E15:E24" si="6">IF(ISERROR(D15/B15),"-",D15/B15)</f>
        <v>-</v>
      </c>
      <c r="F15" s="782"/>
      <c r="G15" s="567">
        <v>0</v>
      </c>
      <c r="H15" s="567">
        <v>0</v>
      </c>
      <c r="I15" s="416">
        <f t="shared" ref="I15:I24" si="7">H15-G15</f>
        <v>0</v>
      </c>
      <c r="J15" s="926" t="str">
        <f t="shared" si="0"/>
        <v>-</v>
      </c>
      <c r="K15" s="782"/>
      <c r="L15" s="567">
        <v>0</v>
      </c>
      <c r="M15" s="567">
        <v>0</v>
      </c>
      <c r="N15" s="416">
        <f t="shared" ref="N15:N24" si="8">M15-L15</f>
        <v>0</v>
      </c>
      <c r="O15" s="731" t="str">
        <f t="shared" si="1"/>
        <v>-</v>
      </c>
      <c r="P15" s="782"/>
      <c r="Q15" s="567">
        <v>0</v>
      </c>
      <c r="R15" s="567">
        <v>0</v>
      </c>
      <c r="S15" s="416">
        <f t="shared" ref="S15:S24" si="9">R15-Q15</f>
        <v>0</v>
      </c>
      <c r="T15" s="731" t="str">
        <f t="shared" si="2"/>
        <v>-</v>
      </c>
      <c r="U15" s="782"/>
      <c r="V15" s="414">
        <f t="shared" ref="V15:V24" si="10">B15+G15+L15+Q15</f>
        <v>0</v>
      </c>
      <c r="W15" s="415">
        <f t="shared" ref="W15:W24" si="11">C15+H15+M15+R15</f>
        <v>0</v>
      </c>
      <c r="X15" s="416">
        <f t="shared" ref="X15:X24" si="12">W15-V15</f>
        <v>0</v>
      </c>
      <c r="Y15" s="766" t="str">
        <f t="shared" si="3"/>
        <v>-</v>
      </c>
      <c r="Z15" s="951"/>
      <c r="AA15" s="604">
        <v>0</v>
      </c>
      <c r="AB15" s="416">
        <f t="shared" ref="AB15:AB24" si="13">AA15-W15</f>
        <v>0</v>
      </c>
      <c r="AC15" s="766" t="str">
        <f t="shared" si="4"/>
        <v>-</v>
      </c>
      <c r="AD15" s="1162"/>
      <c r="AE15" s="1178"/>
    </row>
    <row r="16" spans="1:31" ht="19.5" thickBot="1" x14ac:dyDescent="0.35">
      <c r="A16" s="1096" t="s">
        <v>69</v>
      </c>
      <c r="B16" s="414">
        <v>0</v>
      </c>
      <c r="C16" s="567">
        <v>0</v>
      </c>
      <c r="D16" s="416">
        <f t="shared" si="5"/>
        <v>0</v>
      </c>
      <c r="E16" s="926" t="str">
        <f>IF(ISERROR(D16/B16),"-",D16/B16)</f>
        <v>-</v>
      </c>
      <c r="F16" s="783"/>
      <c r="G16" s="567">
        <v>0</v>
      </c>
      <c r="H16" s="567">
        <v>0</v>
      </c>
      <c r="I16" s="416">
        <f t="shared" si="7"/>
        <v>0</v>
      </c>
      <c r="J16" s="926" t="str">
        <f t="shared" si="0"/>
        <v>-</v>
      </c>
      <c r="K16" s="928"/>
      <c r="L16" s="567">
        <v>0</v>
      </c>
      <c r="M16" s="567">
        <v>0</v>
      </c>
      <c r="N16" s="416">
        <f t="shared" si="8"/>
        <v>0</v>
      </c>
      <c r="O16" s="731" t="str">
        <f t="shared" si="1"/>
        <v>-</v>
      </c>
      <c r="P16" s="783"/>
      <c r="Q16" s="567">
        <v>0</v>
      </c>
      <c r="R16" s="567">
        <v>0</v>
      </c>
      <c r="S16" s="416">
        <f t="shared" si="9"/>
        <v>0</v>
      </c>
      <c r="T16" s="731" t="str">
        <f t="shared" si="2"/>
        <v>-</v>
      </c>
      <c r="U16" s="783"/>
      <c r="V16" s="414">
        <f t="shared" si="10"/>
        <v>0</v>
      </c>
      <c r="W16" s="415">
        <f t="shared" si="11"/>
        <v>0</v>
      </c>
      <c r="X16" s="416">
        <f t="shared" si="12"/>
        <v>0</v>
      </c>
      <c r="Y16" s="766" t="str">
        <f t="shared" si="3"/>
        <v>-</v>
      </c>
      <c r="Z16" s="951"/>
      <c r="AA16" s="604">
        <v>0</v>
      </c>
      <c r="AB16" s="416">
        <f t="shared" si="13"/>
        <v>0</v>
      </c>
      <c r="AC16" s="766" t="str">
        <f t="shared" si="4"/>
        <v>-</v>
      </c>
      <c r="AD16" s="1163"/>
      <c r="AE16" s="1179"/>
    </row>
    <row r="17" spans="1:33" x14ac:dyDescent="0.3">
      <c r="A17" s="1096" t="s">
        <v>68</v>
      </c>
      <c r="B17" s="889">
        <v>0</v>
      </c>
      <c r="C17" s="416">
        <v>0</v>
      </c>
      <c r="D17" s="416">
        <f t="shared" si="5"/>
        <v>0</v>
      </c>
      <c r="E17" s="926" t="str">
        <f t="shared" si="6"/>
        <v>-</v>
      </c>
      <c r="F17" s="782"/>
      <c r="G17" s="567">
        <v>0</v>
      </c>
      <c r="H17" s="567">
        <v>0</v>
      </c>
      <c r="I17" s="416">
        <f t="shared" si="7"/>
        <v>0</v>
      </c>
      <c r="J17" s="926" t="str">
        <f t="shared" si="0"/>
        <v>-</v>
      </c>
      <c r="K17" s="1162"/>
      <c r="L17" s="567">
        <v>0</v>
      </c>
      <c r="M17" s="567">
        <v>0</v>
      </c>
      <c r="N17" s="416">
        <f t="shared" si="8"/>
        <v>0</v>
      </c>
      <c r="O17" s="731" t="str">
        <f t="shared" si="1"/>
        <v>-</v>
      </c>
      <c r="P17" s="782"/>
      <c r="Q17" s="567">
        <v>0</v>
      </c>
      <c r="R17" s="567">
        <v>0</v>
      </c>
      <c r="S17" s="416">
        <f t="shared" si="9"/>
        <v>0</v>
      </c>
      <c r="T17" s="731" t="str">
        <f t="shared" si="2"/>
        <v>-</v>
      </c>
      <c r="U17" s="782"/>
      <c r="V17" s="414">
        <f t="shared" si="10"/>
        <v>0</v>
      </c>
      <c r="W17" s="415">
        <f t="shared" si="11"/>
        <v>0</v>
      </c>
      <c r="X17" s="416">
        <f t="shared" si="12"/>
        <v>0</v>
      </c>
      <c r="Y17" s="766" t="str">
        <f t="shared" si="3"/>
        <v>-</v>
      </c>
      <c r="Z17" s="951"/>
      <c r="AA17" s="604">
        <v>0</v>
      </c>
      <c r="AB17" s="416">
        <f t="shared" si="13"/>
        <v>0</v>
      </c>
      <c r="AC17" s="766" t="str">
        <f t="shared" si="4"/>
        <v>-</v>
      </c>
      <c r="AD17" s="1162"/>
      <c r="AE17" s="1178"/>
    </row>
    <row r="18" spans="1:33" x14ac:dyDescent="0.3">
      <c r="A18" s="1096" t="s">
        <v>71</v>
      </c>
      <c r="B18" s="889">
        <v>0</v>
      </c>
      <c r="C18" s="416">
        <v>0</v>
      </c>
      <c r="D18" s="416">
        <f t="shared" si="5"/>
        <v>0</v>
      </c>
      <c r="E18" s="926" t="str">
        <f t="shared" si="6"/>
        <v>-</v>
      </c>
      <c r="F18" s="782"/>
      <c r="G18" s="567">
        <v>0</v>
      </c>
      <c r="H18" s="567">
        <v>0</v>
      </c>
      <c r="I18" s="416">
        <f t="shared" si="7"/>
        <v>0</v>
      </c>
      <c r="J18" s="926" t="str">
        <f t="shared" si="0"/>
        <v>-</v>
      </c>
      <c r="K18" s="1162"/>
      <c r="L18" s="567">
        <v>0</v>
      </c>
      <c r="M18" s="567">
        <v>0</v>
      </c>
      <c r="N18" s="416">
        <f t="shared" si="8"/>
        <v>0</v>
      </c>
      <c r="O18" s="731" t="str">
        <f t="shared" si="1"/>
        <v>-</v>
      </c>
      <c r="P18" s="782"/>
      <c r="Q18" s="567">
        <v>0</v>
      </c>
      <c r="R18" s="567">
        <v>0</v>
      </c>
      <c r="S18" s="416">
        <f>R18-Q18</f>
        <v>0</v>
      </c>
      <c r="T18" s="731" t="str">
        <f t="shared" si="2"/>
        <v>-</v>
      </c>
      <c r="U18" s="782"/>
      <c r="V18" s="414">
        <f t="shared" si="10"/>
        <v>0</v>
      </c>
      <c r="W18" s="415">
        <f t="shared" si="11"/>
        <v>0</v>
      </c>
      <c r="X18" s="416">
        <f t="shared" si="12"/>
        <v>0</v>
      </c>
      <c r="Y18" s="766" t="str">
        <f t="shared" si="3"/>
        <v>-</v>
      </c>
      <c r="Z18" s="951"/>
      <c r="AA18" s="604">
        <v>0</v>
      </c>
      <c r="AB18" s="416">
        <f t="shared" si="13"/>
        <v>0</v>
      </c>
      <c r="AC18" s="766" t="str">
        <f t="shared" si="4"/>
        <v>-</v>
      </c>
      <c r="AD18" s="1162"/>
      <c r="AE18" s="1180"/>
    </row>
    <row r="19" spans="1:33" x14ac:dyDescent="0.3">
      <c r="A19" s="1096" t="s">
        <v>188</v>
      </c>
      <c r="B19" s="889">
        <v>0</v>
      </c>
      <c r="C19" s="416">
        <v>0</v>
      </c>
      <c r="D19" s="416">
        <f t="shared" si="5"/>
        <v>0</v>
      </c>
      <c r="E19" s="926" t="str">
        <f t="shared" si="6"/>
        <v>-</v>
      </c>
      <c r="F19" s="782"/>
      <c r="G19" s="567">
        <v>0</v>
      </c>
      <c r="H19" s="567">
        <v>0</v>
      </c>
      <c r="I19" s="416">
        <f t="shared" si="7"/>
        <v>0</v>
      </c>
      <c r="J19" s="926" t="str">
        <f t="shared" si="0"/>
        <v>-</v>
      </c>
      <c r="K19" s="1162"/>
      <c r="L19" s="567">
        <v>0</v>
      </c>
      <c r="M19" s="567">
        <v>0</v>
      </c>
      <c r="N19" s="416">
        <f t="shared" si="8"/>
        <v>0</v>
      </c>
      <c r="O19" s="731" t="str">
        <f t="shared" si="1"/>
        <v>-</v>
      </c>
      <c r="P19" s="782"/>
      <c r="Q19" s="567">
        <v>0</v>
      </c>
      <c r="R19" s="567">
        <v>0</v>
      </c>
      <c r="S19" s="416">
        <f>R19-Q19</f>
        <v>0</v>
      </c>
      <c r="T19" s="731" t="str">
        <f t="shared" si="2"/>
        <v>-</v>
      </c>
      <c r="U19" s="782"/>
      <c r="V19" s="414">
        <f t="shared" si="10"/>
        <v>0</v>
      </c>
      <c r="W19" s="415">
        <f t="shared" si="11"/>
        <v>0</v>
      </c>
      <c r="X19" s="416">
        <f t="shared" si="12"/>
        <v>0</v>
      </c>
      <c r="Y19" s="766" t="str">
        <f t="shared" si="3"/>
        <v>-</v>
      </c>
      <c r="Z19" s="951"/>
      <c r="AA19" s="604">
        <v>0</v>
      </c>
      <c r="AB19" s="416">
        <f t="shared" si="13"/>
        <v>0</v>
      </c>
      <c r="AC19" s="766" t="str">
        <f t="shared" si="4"/>
        <v>-</v>
      </c>
      <c r="AD19" s="1162"/>
      <c r="AE19" s="1185"/>
    </row>
    <row r="20" spans="1:33" x14ac:dyDescent="0.3">
      <c r="A20" s="1260" t="s">
        <v>67</v>
      </c>
      <c r="B20" s="889">
        <v>0</v>
      </c>
      <c r="C20" s="416">
        <v>0</v>
      </c>
      <c r="D20" s="416">
        <f t="shared" si="5"/>
        <v>0</v>
      </c>
      <c r="E20" s="926" t="str">
        <f t="shared" si="6"/>
        <v>-</v>
      </c>
      <c r="F20" s="782"/>
      <c r="G20" s="567">
        <v>0</v>
      </c>
      <c r="H20" s="567">
        <v>0</v>
      </c>
      <c r="I20" s="416">
        <f t="shared" si="7"/>
        <v>0</v>
      </c>
      <c r="J20" s="926" t="str">
        <f t="shared" si="0"/>
        <v>-</v>
      </c>
      <c r="K20" s="1162"/>
      <c r="L20" s="567">
        <v>0</v>
      </c>
      <c r="M20" s="567">
        <v>0</v>
      </c>
      <c r="N20" s="416">
        <f t="shared" si="8"/>
        <v>0</v>
      </c>
      <c r="O20" s="731" t="str">
        <f t="shared" si="1"/>
        <v>-</v>
      </c>
      <c r="P20" s="782"/>
      <c r="Q20" s="567">
        <v>0</v>
      </c>
      <c r="R20" s="567">
        <v>0</v>
      </c>
      <c r="S20" s="416">
        <f t="shared" si="9"/>
        <v>0</v>
      </c>
      <c r="T20" s="731" t="str">
        <f t="shared" si="2"/>
        <v>-</v>
      </c>
      <c r="U20" s="782"/>
      <c r="V20" s="414">
        <f t="shared" si="10"/>
        <v>0</v>
      </c>
      <c r="W20" s="415">
        <f t="shared" si="11"/>
        <v>0</v>
      </c>
      <c r="X20" s="416">
        <f t="shared" si="12"/>
        <v>0</v>
      </c>
      <c r="Y20" s="766" t="str">
        <f t="shared" si="3"/>
        <v>-</v>
      </c>
      <c r="Z20" s="951"/>
      <c r="AA20" s="604">
        <v>0</v>
      </c>
      <c r="AB20" s="416">
        <f t="shared" si="13"/>
        <v>0</v>
      </c>
      <c r="AC20" s="766" t="str">
        <f t="shared" si="4"/>
        <v>-</v>
      </c>
      <c r="AD20" s="1162"/>
      <c r="AE20" s="1178"/>
    </row>
    <row r="21" spans="1:33" x14ac:dyDescent="0.3">
      <c r="A21" s="1106" t="s">
        <v>112</v>
      </c>
      <c r="B21" s="889">
        <v>2058568.25</v>
      </c>
      <c r="C21" s="416">
        <v>2058568.23</v>
      </c>
      <c r="D21" s="416">
        <f t="shared" si="5"/>
        <v>-2.0000000018626451E-2</v>
      </c>
      <c r="E21" s="926">
        <f t="shared" si="6"/>
        <v>-9.715490374742957E-9</v>
      </c>
      <c r="F21" s="782"/>
      <c r="G21" s="567">
        <v>2058568.25</v>
      </c>
      <c r="H21" s="415">
        <v>2058568.23</v>
      </c>
      <c r="I21" s="416">
        <f t="shared" si="7"/>
        <v>-2.0000000018626451E-2</v>
      </c>
      <c r="J21" s="926">
        <f t="shared" si="0"/>
        <v>-9.715490374742957E-9</v>
      </c>
      <c r="K21" s="1162"/>
      <c r="L21" s="414">
        <v>2058568.25</v>
      </c>
      <c r="M21" s="415">
        <v>2066379</v>
      </c>
      <c r="N21" s="416">
        <f t="shared" si="8"/>
        <v>7810.75</v>
      </c>
      <c r="O21" s="731">
        <f t="shared" si="1"/>
        <v>3.7942633186924942E-3</v>
      </c>
      <c r="P21" s="782"/>
      <c r="Q21" s="1703">
        <v>2058568.25</v>
      </c>
      <c r="R21" s="1703">
        <f>-5341.59+2062873.23+1500000+1111076.99</f>
        <v>4668608.63</v>
      </c>
      <c r="S21" s="416">
        <f>R21-Q21</f>
        <v>2610040.38</v>
      </c>
      <c r="T21" s="731">
        <f t="shared" si="2"/>
        <v>1.2678911082982067</v>
      </c>
      <c r="U21" s="782"/>
      <c r="V21" s="414">
        <f>B21+G21+L21+Q21</f>
        <v>8234273</v>
      </c>
      <c r="W21" s="415">
        <f>C21+H21+M21+R21</f>
        <v>10852124.09</v>
      </c>
      <c r="X21" s="416">
        <f t="shared" si="12"/>
        <v>2617851.09</v>
      </c>
      <c r="Y21" s="766">
        <f>IF(ISERROR(X21/V21),"-",X21/V21)</f>
        <v>0.3179213380464796</v>
      </c>
      <c r="Z21" s="951"/>
      <c r="AA21" s="604">
        <v>8234273</v>
      </c>
      <c r="AB21" s="416">
        <f t="shared" si="13"/>
        <v>-2617851.09</v>
      </c>
      <c r="AC21" s="766">
        <f>IF(ISERROR(AB21/AA21),"-",AB21/AA21)</f>
        <v>-0.3179213380464796</v>
      </c>
      <c r="AD21" s="1162"/>
      <c r="AE21" s="1178"/>
    </row>
    <row r="22" spans="1:33" x14ac:dyDescent="0.3">
      <c r="A22" s="1096" t="s">
        <v>70</v>
      </c>
      <c r="B22" s="889">
        <v>0</v>
      </c>
      <c r="C22" s="416">
        <v>0</v>
      </c>
      <c r="D22" s="416">
        <f t="shared" si="5"/>
        <v>0</v>
      </c>
      <c r="E22" s="926" t="str">
        <f t="shared" si="6"/>
        <v>-</v>
      </c>
      <c r="F22" s="782"/>
      <c r="G22" s="567">
        <v>0</v>
      </c>
      <c r="H22" s="567">
        <v>0</v>
      </c>
      <c r="I22" s="416">
        <f t="shared" si="7"/>
        <v>0</v>
      </c>
      <c r="J22" s="926" t="str">
        <f t="shared" si="0"/>
        <v>-</v>
      </c>
      <c r="K22" s="1162"/>
      <c r="L22" s="567">
        <v>0</v>
      </c>
      <c r="M22" s="567">
        <v>0</v>
      </c>
      <c r="N22" s="416">
        <f t="shared" si="8"/>
        <v>0</v>
      </c>
      <c r="O22" s="731" t="str">
        <f t="shared" si="1"/>
        <v>-</v>
      </c>
      <c r="P22" s="782"/>
      <c r="Q22" s="567">
        <v>0</v>
      </c>
      <c r="R22" s="567">
        <v>0</v>
      </c>
      <c r="S22" s="416">
        <f t="shared" si="9"/>
        <v>0</v>
      </c>
      <c r="T22" s="731" t="str">
        <f t="shared" si="2"/>
        <v>-</v>
      </c>
      <c r="U22" s="782"/>
      <c r="V22" s="414">
        <f t="shared" si="10"/>
        <v>0</v>
      </c>
      <c r="W22" s="415">
        <f t="shared" si="11"/>
        <v>0</v>
      </c>
      <c r="X22" s="416">
        <f t="shared" si="12"/>
        <v>0</v>
      </c>
      <c r="Y22" s="766" t="str">
        <f>IF(ISERROR(X22/V22),"-",X22/V22)</f>
        <v>-</v>
      </c>
      <c r="Z22" s="951"/>
      <c r="AA22" s="604">
        <v>0</v>
      </c>
      <c r="AB22" s="416">
        <f t="shared" si="13"/>
        <v>0</v>
      </c>
      <c r="AC22" s="766" t="str">
        <f t="shared" si="4"/>
        <v>-</v>
      </c>
      <c r="AD22" s="1162"/>
      <c r="AE22" s="1178"/>
      <c r="AG22" s="173"/>
    </row>
    <row r="23" spans="1:33" x14ac:dyDescent="0.3">
      <c r="A23" s="1096" t="s">
        <v>72</v>
      </c>
      <c r="B23" s="889">
        <v>0</v>
      </c>
      <c r="C23" s="416">
        <v>0</v>
      </c>
      <c r="D23" s="416">
        <f t="shared" si="5"/>
        <v>0</v>
      </c>
      <c r="E23" s="926" t="str">
        <f t="shared" si="6"/>
        <v>-</v>
      </c>
      <c r="F23" s="782"/>
      <c r="G23" s="567">
        <v>0</v>
      </c>
      <c r="H23" s="567">
        <v>0</v>
      </c>
      <c r="I23" s="416">
        <f t="shared" si="7"/>
        <v>0</v>
      </c>
      <c r="J23" s="926" t="str">
        <f t="shared" si="0"/>
        <v>-</v>
      </c>
      <c r="K23" s="1162"/>
      <c r="L23" s="567">
        <v>0</v>
      </c>
      <c r="M23" s="567">
        <v>0</v>
      </c>
      <c r="N23" s="416">
        <f t="shared" si="8"/>
        <v>0</v>
      </c>
      <c r="O23" s="731" t="str">
        <f t="shared" si="1"/>
        <v>-</v>
      </c>
      <c r="P23" s="782"/>
      <c r="Q23" s="567">
        <v>0</v>
      </c>
      <c r="R23" s="567">
        <v>0</v>
      </c>
      <c r="S23" s="416">
        <f t="shared" si="9"/>
        <v>0</v>
      </c>
      <c r="T23" s="731" t="str">
        <f t="shared" si="2"/>
        <v>-</v>
      </c>
      <c r="U23" s="782"/>
      <c r="V23" s="414">
        <f t="shared" si="10"/>
        <v>0</v>
      </c>
      <c r="W23" s="415">
        <f t="shared" si="11"/>
        <v>0</v>
      </c>
      <c r="X23" s="416">
        <f t="shared" si="12"/>
        <v>0</v>
      </c>
      <c r="Y23" s="766" t="str">
        <f>IF(ISERROR(X23/V23),"-",X23/V23)</f>
        <v>-</v>
      </c>
      <c r="Z23" s="951"/>
      <c r="AA23" s="604">
        <v>0</v>
      </c>
      <c r="AB23" s="416">
        <f t="shared" si="13"/>
        <v>0</v>
      </c>
      <c r="AC23" s="766" t="str">
        <f t="shared" si="4"/>
        <v>-</v>
      </c>
      <c r="AD23" s="1162"/>
      <c r="AE23" s="1179"/>
    </row>
    <row r="24" spans="1:33" x14ac:dyDescent="0.3">
      <c r="A24" s="1096" t="s">
        <v>131</v>
      </c>
      <c r="B24" s="889">
        <v>0</v>
      </c>
      <c r="C24" s="416">
        <v>0</v>
      </c>
      <c r="D24" s="416">
        <f t="shared" si="5"/>
        <v>0</v>
      </c>
      <c r="E24" s="926" t="str">
        <f t="shared" si="6"/>
        <v>-</v>
      </c>
      <c r="F24" s="782"/>
      <c r="G24" s="567">
        <v>0</v>
      </c>
      <c r="H24" s="567">
        <v>0</v>
      </c>
      <c r="I24" s="416">
        <f t="shared" si="7"/>
        <v>0</v>
      </c>
      <c r="J24" s="926" t="str">
        <f t="shared" si="0"/>
        <v>-</v>
      </c>
      <c r="K24" s="1162"/>
      <c r="L24" s="567">
        <v>0</v>
      </c>
      <c r="M24" s="567">
        <v>0</v>
      </c>
      <c r="N24" s="416">
        <f t="shared" si="8"/>
        <v>0</v>
      </c>
      <c r="O24" s="731" t="str">
        <f t="shared" si="1"/>
        <v>-</v>
      </c>
      <c r="P24" s="782"/>
      <c r="Q24" s="567">
        <v>0</v>
      </c>
      <c r="R24" s="567">
        <v>0</v>
      </c>
      <c r="S24" s="416">
        <f t="shared" si="9"/>
        <v>0</v>
      </c>
      <c r="T24" s="731" t="str">
        <f t="shared" si="2"/>
        <v>-</v>
      </c>
      <c r="U24" s="782"/>
      <c r="V24" s="414">
        <f t="shared" si="10"/>
        <v>0</v>
      </c>
      <c r="W24" s="415">
        <f t="shared" si="11"/>
        <v>0</v>
      </c>
      <c r="X24" s="416">
        <f t="shared" si="12"/>
        <v>0</v>
      </c>
      <c r="Y24" s="766" t="str">
        <f>IF(ISERROR(X24/V24),"-",X24/V24)</f>
        <v>-</v>
      </c>
      <c r="Z24" s="951"/>
      <c r="AA24" s="604">
        <v>0</v>
      </c>
      <c r="AB24" s="416">
        <f t="shared" si="13"/>
        <v>0</v>
      </c>
      <c r="AC24" s="766" t="str">
        <f t="shared" si="4"/>
        <v>-</v>
      </c>
      <c r="AD24" s="1162"/>
      <c r="AE24" s="1663"/>
    </row>
    <row r="25" spans="1:33" x14ac:dyDescent="0.3">
      <c r="A25" s="1261" t="s">
        <v>73</v>
      </c>
      <c r="B25" s="939">
        <f>SUM(B14:B24)</f>
        <v>2331396.75</v>
      </c>
      <c r="C25" s="720">
        <f>SUM(C14:C24)</f>
        <v>2491760.27</v>
      </c>
      <c r="D25" s="720">
        <f>SUM(D14:D24)</f>
        <v>160363.51999999996</v>
      </c>
      <c r="E25" s="937">
        <f>IF(ISERROR(D25/B25),"-",D25/B25)</f>
        <v>6.878431137900487E-2</v>
      </c>
      <c r="F25" s="1235"/>
      <c r="G25" s="1157">
        <f>SUM(G14:G24)</f>
        <v>2331396.75</v>
      </c>
      <c r="H25" s="720">
        <f>SUM(H14:H24)</f>
        <v>2437289.7199999997</v>
      </c>
      <c r="I25" s="720">
        <f>SUM(I14:I24)</f>
        <v>105892.96999999997</v>
      </c>
      <c r="J25" s="1167">
        <f>IF(ISERROR(I25/G25),"-",I25/G25)</f>
        <v>4.5420398737366335E-2</v>
      </c>
      <c r="K25" s="1241"/>
      <c r="L25" s="939">
        <f>SUM(L14:L24)</f>
        <v>2331396.75</v>
      </c>
      <c r="M25" s="720">
        <f>SUM(M14:M24)</f>
        <v>2287770.44</v>
      </c>
      <c r="N25" s="720">
        <f>SUM(N14:N24)</f>
        <v>-43626.31</v>
      </c>
      <c r="O25" s="940">
        <f t="shared" si="1"/>
        <v>-1.8712520723896522E-2</v>
      </c>
      <c r="P25" s="1236"/>
      <c r="Q25" s="930">
        <f>SUM(Q14:Q24)</f>
        <v>2331396.75</v>
      </c>
      <c r="R25" s="763">
        <f>SUM(R14:R24)</f>
        <v>4972450.3999999994</v>
      </c>
      <c r="S25" s="763">
        <f>SUM(S14:S24)</f>
        <v>2641053.65</v>
      </c>
      <c r="T25" s="932">
        <f t="shared" si="2"/>
        <v>1.132820336135409</v>
      </c>
      <c r="U25" s="1236"/>
      <c r="V25" s="939">
        <f>SUM(V14:V24)</f>
        <v>9325587</v>
      </c>
      <c r="W25" s="720">
        <f>SUM(W14:W24)</f>
        <v>12189270.83</v>
      </c>
      <c r="X25" s="720">
        <f>SUM(X14:X24)</f>
        <v>2863683.83</v>
      </c>
      <c r="Y25" s="1244">
        <f>IF(ISERROR(X25/V25),"-",X25/V25)</f>
        <v>0.30707813138197093</v>
      </c>
      <c r="Z25" s="1250"/>
      <c r="AA25" s="1247">
        <f>SUM(AA14:AA24)</f>
        <v>9478589</v>
      </c>
      <c r="AB25" s="945">
        <f>SUM(AB14:AB24)</f>
        <v>-2710681.83</v>
      </c>
      <c r="AC25" s="1237">
        <f t="shared" si="4"/>
        <v>-0.28597946698606724</v>
      </c>
      <c r="AD25" s="1241"/>
      <c r="AE25" s="1181"/>
    </row>
    <row r="26" spans="1:33" x14ac:dyDescent="0.3">
      <c r="A26" s="1263"/>
      <c r="B26" s="414"/>
      <c r="C26" s="415"/>
      <c r="D26" s="415"/>
      <c r="E26" s="225"/>
      <c r="F26" s="166"/>
      <c r="G26" s="426"/>
      <c r="H26" s="427"/>
      <c r="I26" s="427"/>
      <c r="J26" s="228"/>
      <c r="K26" s="1162"/>
      <c r="L26" s="414"/>
      <c r="M26" s="415"/>
      <c r="N26" s="415"/>
      <c r="O26" s="199"/>
      <c r="P26" s="782"/>
      <c r="Q26" s="602"/>
      <c r="R26" s="427"/>
      <c r="S26" s="427"/>
      <c r="T26" s="197" t="str">
        <f t="shared" si="2"/>
        <v>-</v>
      </c>
      <c r="U26" s="782"/>
      <c r="V26" s="414"/>
      <c r="W26" s="415"/>
      <c r="X26" s="415"/>
      <c r="Y26" s="769"/>
      <c r="Z26" s="951"/>
      <c r="AA26" s="567"/>
      <c r="AB26" s="415"/>
      <c r="AC26" s="769"/>
      <c r="AD26" s="1162"/>
      <c r="AE26" s="1176"/>
    </row>
    <row r="27" spans="1:33" x14ac:dyDescent="0.3">
      <c r="A27" s="1256" t="s">
        <v>74</v>
      </c>
      <c r="B27" s="414">
        <v>0</v>
      </c>
      <c r="C27" s="415">
        <v>0</v>
      </c>
      <c r="D27" s="415">
        <f>C27-B27</f>
        <v>0</v>
      </c>
      <c r="E27" s="194" t="str">
        <f>IF(ISERROR(D27/B27),"-",D27/B27)</f>
        <v>-</v>
      </c>
      <c r="F27" s="166"/>
      <c r="G27" s="426">
        <v>0</v>
      </c>
      <c r="H27" s="427">
        <v>0</v>
      </c>
      <c r="I27" s="415">
        <f>H27-G27</f>
        <v>0</v>
      </c>
      <c r="J27" s="195" t="str">
        <f>IF(ISERROR(I27/G27),"-",I27/G27)</f>
        <v>-</v>
      </c>
      <c r="K27" s="1162"/>
      <c r="L27" s="414">
        <v>0</v>
      </c>
      <c r="M27" s="415">
        <v>0</v>
      </c>
      <c r="N27" s="415">
        <f>M27-L27</f>
        <v>0</v>
      </c>
      <c r="O27" s="196" t="str">
        <f>IF(ISERROR(N27/L27),"-",N27/L27)</f>
        <v>-</v>
      </c>
      <c r="P27" s="166"/>
      <c r="Q27" s="414">
        <v>0</v>
      </c>
      <c r="R27" s="415">
        <v>0</v>
      </c>
      <c r="S27" s="415">
        <f>R27-Q27</f>
        <v>0</v>
      </c>
      <c r="T27" s="197" t="str">
        <f t="shared" si="2"/>
        <v>-</v>
      </c>
      <c r="U27" s="782"/>
      <c r="V27" s="414">
        <f>B27+G27+L27+Q27</f>
        <v>0</v>
      </c>
      <c r="W27" s="415">
        <f>C27+H27+M27+R27</f>
        <v>0</v>
      </c>
      <c r="X27" s="415">
        <f>W27-V27</f>
        <v>0</v>
      </c>
      <c r="Y27" s="769"/>
      <c r="Z27" s="951"/>
      <c r="AA27" s="567">
        <v>0</v>
      </c>
      <c r="AB27" s="415"/>
      <c r="AC27" s="769"/>
      <c r="AD27" s="1162"/>
      <c r="AE27" s="1178"/>
    </row>
    <row r="28" spans="1:33" x14ac:dyDescent="0.3">
      <c r="A28" s="1264"/>
      <c r="B28" s="428"/>
      <c r="C28" s="429"/>
      <c r="D28" s="429"/>
      <c r="E28" s="203"/>
      <c r="F28" s="160"/>
      <c r="G28" s="430"/>
      <c r="H28" s="431"/>
      <c r="I28" s="431"/>
      <c r="J28" s="206"/>
      <c r="K28" s="1168"/>
      <c r="L28" s="428"/>
      <c r="M28" s="429"/>
      <c r="N28" s="429"/>
      <c r="O28" s="207"/>
      <c r="P28" s="160"/>
      <c r="Q28" s="430"/>
      <c r="R28" s="431"/>
      <c r="S28" s="431"/>
      <c r="T28" s="208" t="str">
        <f t="shared" si="2"/>
        <v>-</v>
      </c>
      <c r="U28" s="781"/>
      <c r="V28" s="428"/>
      <c r="W28" s="429"/>
      <c r="X28" s="429"/>
      <c r="Y28" s="770"/>
      <c r="Z28" s="950"/>
      <c r="AA28" s="568"/>
      <c r="AB28" s="429"/>
      <c r="AC28" s="770"/>
      <c r="AD28" s="1168"/>
      <c r="AE28" s="1178"/>
    </row>
    <row r="29" spans="1:33" x14ac:dyDescent="0.3">
      <c r="A29" s="1265" t="s">
        <v>75</v>
      </c>
      <c r="B29" s="432">
        <f>B25+B27</f>
        <v>2331396.75</v>
      </c>
      <c r="C29" s="433">
        <f>C25+C27</f>
        <v>2491760.27</v>
      </c>
      <c r="D29" s="433">
        <f>D25+D27</f>
        <v>160363.51999999996</v>
      </c>
      <c r="E29" s="211">
        <f>IF(ISERROR(D29/B29),"-",D29/B29)</f>
        <v>6.878431137900487E-2</v>
      </c>
      <c r="F29" s="178"/>
      <c r="G29" s="432">
        <f>G25+G27</f>
        <v>2331396.75</v>
      </c>
      <c r="H29" s="433">
        <f>H25+H27</f>
        <v>2437289.7199999997</v>
      </c>
      <c r="I29" s="433">
        <f>I25+I27</f>
        <v>105892.96999999997</v>
      </c>
      <c r="J29" s="211">
        <f>IF(ISERROR(I29/G29),"-",I29/G29)</f>
        <v>4.5420398737366335E-2</v>
      </c>
      <c r="K29" s="1173"/>
      <c r="L29" s="432">
        <f>L25+L27</f>
        <v>2331396.75</v>
      </c>
      <c r="M29" s="433">
        <f>M25+M27</f>
        <v>2287770.44</v>
      </c>
      <c r="N29" s="433">
        <f>N25+N27</f>
        <v>-43626.31</v>
      </c>
      <c r="O29" s="212">
        <f>IF(ISERROR(N29/L29),"-",N29/L29)</f>
        <v>-1.8712520723896522E-2</v>
      </c>
      <c r="P29" s="178"/>
      <c r="Q29" s="432">
        <f>Q25+Q27</f>
        <v>2331396.75</v>
      </c>
      <c r="R29" s="433">
        <f>R25+R27</f>
        <v>4972450.3999999994</v>
      </c>
      <c r="S29" s="433">
        <f>S25+S27</f>
        <v>2641053.65</v>
      </c>
      <c r="T29" s="212">
        <f t="shared" si="2"/>
        <v>1.132820336135409</v>
      </c>
      <c r="U29" s="784"/>
      <c r="V29" s="432">
        <f>V25+V27</f>
        <v>9325587</v>
      </c>
      <c r="W29" s="433">
        <f>W25+W27</f>
        <v>12189270.83</v>
      </c>
      <c r="X29" s="433">
        <f>X25+X27</f>
        <v>2863683.83</v>
      </c>
      <c r="Y29" s="1214">
        <f>IF(ISERROR(X29/V29),"-",X29/V29)</f>
        <v>0.30707813138197093</v>
      </c>
      <c r="Z29" s="950"/>
      <c r="AA29" s="952">
        <f>AA25+AA27</f>
        <v>9478589</v>
      </c>
      <c r="AB29" s="435">
        <f>AA29-W29</f>
        <v>-2710681.83</v>
      </c>
      <c r="AC29" s="771">
        <f>IF(ISERROR(AB29/AA29),"-",AB29/AA29)</f>
        <v>-0.28597946698606724</v>
      </c>
      <c r="AD29" s="1173"/>
      <c r="AE29" s="1181"/>
    </row>
    <row r="30" spans="1:33" x14ac:dyDescent="0.3">
      <c r="A30" s="1266"/>
      <c r="B30" s="436"/>
      <c r="C30" s="437"/>
      <c r="D30" s="437"/>
      <c r="E30" s="219"/>
      <c r="F30" s="160"/>
      <c r="G30" s="438"/>
      <c r="H30" s="439"/>
      <c r="I30" s="439"/>
      <c r="J30" s="222"/>
      <c r="K30" s="1168"/>
      <c r="L30" s="436"/>
      <c r="M30" s="437"/>
      <c r="N30" s="437"/>
      <c r="O30" s="223"/>
      <c r="P30" s="160"/>
      <c r="Q30" s="438"/>
      <c r="R30" s="439"/>
      <c r="S30" s="439"/>
      <c r="T30" s="224"/>
      <c r="U30" s="781"/>
      <c r="V30" s="422"/>
      <c r="W30" s="423"/>
      <c r="X30" s="437"/>
      <c r="Y30" s="772"/>
      <c r="Z30" s="950"/>
      <c r="AA30" s="566"/>
      <c r="AB30" s="437"/>
      <c r="AC30" s="772"/>
      <c r="AD30" s="1168"/>
      <c r="AE30" s="1178"/>
    </row>
    <row r="31" spans="1:33" x14ac:dyDescent="0.3">
      <c r="A31" s="1256" t="s">
        <v>76</v>
      </c>
      <c r="B31" s="414"/>
      <c r="C31" s="415"/>
      <c r="D31" s="415"/>
      <c r="E31" s="225"/>
      <c r="F31" s="166"/>
      <c r="G31" s="426"/>
      <c r="H31" s="427"/>
      <c r="I31" s="427"/>
      <c r="J31" s="228"/>
      <c r="K31" s="1162"/>
      <c r="L31" s="414"/>
      <c r="M31" s="415"/>
      <c r="N31" s="415"/>
      <c r="O31" s="199"/>
      <c r="P31" s="166"/>
      <c r="Q31" s="426"/>
      <c r="R31" s="427"/>
      <c r="S31" s="427"/>
      <c r="T31" s="229"/>
      <c r="U31" s="782"/>
      <c r="V31" s="414"/>
      <c r="W31" s="415"/>
      <c r="X31" s="415"/>
      <c r="Y31" s="769"/>
      <c r="Z31" s="951"/>
      <c r="AA31" s="567"/>
      <c r="AB31" s="415"/>
      <c r="AC31" s="769"/>
      <c r="AD31" s="1162"/>
      <c r="AE31" s="1178"/>
    </row>
    <row r="32" spans="1:33" x14ac:dyDescent="0.3">
      <c r="A32" s="1256" t="s">
        <v>77</v>
      </c>
      <c r="B32" s="414"/>
      <c r="C32" s="415"/>
      <c r="D32" s="415"/>
      <c r="E32" s="225"/>
      <c r="F32" s="166"/>
      <c r="G32" s="426"/>
      <c r="H32" s="427"/>
      <c r="I32" s="427"/>
      <c r="J32" s="228"/>
      <c r="K32" s="1162"/>
      <c r="L32" s="414"/>
      <c r="M32" s="415"/>
      <c r="N32" s="415"/>
      <c r="O32" s="199"/>
      <c r="P32" s="166"/>
      <c r="Q32" s="426"/>
      <c r="R32" s="427"/>
      <c r="S32" s="427"/>
      <c r="T32" s="229"/>
      <c r="U32" s="782"/>
      <c r="V32" s="414"/>
      <c r="W32" s="415"/>
      <c r="X32" s="415"/>
      <c r="Y32" s="769"/>
      <c r="Z32" s="951"/>
      <c r="AA32" s="567"/>
      <c r="AB32" s="415"/>
      <c r="AC32" s="769"/>
      <c r="AD32" s="1162"/>
      <c r="AE32" s="1178"/>
    </row>
    <row r="33" spans="1:31" x14ac:dyDescent="0.3">
      <c r="A33" s="1096" t="s">
        <v>78</v>
      </c>
      <c r="B33" s="414">
        <v>372753</v>
      </c>
      <c r="C33" s="415">
        <v>348750</v>
      </c>
      <c r="D33" s="416">
        <f t="shared" ref="D33:D40" si="14">C33-B33</f>
        <v>-24003</v>
      </c>
      <c r="E33" s="194">
        <f t="shared" ref="E33:E40" si="15">IF(ISERROR(D33/B33),"-",D33/B33)</f>
        <v>-6.4393847936837528E-2</v>
      </c>
      <c r="F33" s="171"/>
      <c r="G33" s="426">
        <v>372753</v>
      </c>
      <c r="H33" s="427">
        <v>374530.36</v>
      </c>
      <c r="I33" s="415">
        <f>H33-G33</f>
        <v>1777.359999999986</v>
      </c>
      <c r="J33" s="195">
        <f t="shared" ref="J33:J41" si="16">IF(ISERROR(I33/G33),"-",I33/G33)</f>
        <v>4.7681977073289446E-3</v>
      </c>
      <c r="K33" s="1163"/>
      <c r="L33" s="414">
        <v>372753</v>
      </c>
      <c r="M33" s="415">
        <v>345300.8</v>
      </c>
      <c r="N33" s="415">
        <f>M33-L33</f>
        <v>-27452.200000000012</v>
      </c>
      <c r="O33" s="196">
        <f t="shared" ref="O33:O41" si="17">IF(ISERROR(N33/L33),"-",N33/L33)</f>
        <v>-7.3647160452095656E-2</v>
      </c>
      <c r="P33" s="171"/>
      <c r="Q33" s="426">
        <v>372753</v>
      </c>
      <c r="R33" s="427">
        <v>289212.88</v>
      </c>
      <c r="S33" s="415">
        <f t="shared" ref="S33:S40" si="18">R33-Q33</f>
        <v>-83540.12</v>
      </c>
      <c r="T33" s="197">
        <f t="shared" ref="T33:T41" si="19">IF(ISERROR(S33/Q33),"-",S33/Q33)</f>
        <v>-0.22411655975941172</v>
      </c>
      <c r="U33" s="783"/>
      <c r="V33" s="414">
        <f>SUM(B33+G33+L33+Q33)</f>
        <v>1491012</v>
      </c>
      <c r="W33" s="415">
        <f>C33+H33+M33+R33</f>
        <v>1357794.04</v>
      </c>
      <c r="X33" s="415">
        <f t="shared" ref="X33:X40" si="20">W33-V33</f>
        <v>-133217.95999999996</v>
      </c>
      <c r="Y33" s="773">
        <f t="shared" ref="Y33:Y41" si="21">IF(ISERROR(X33/V33),"-",X33/V33)</f>
        <v>-8.9347342610253955E-2</v>
      </c>
      <c r="Z33" s="951"/>
      <c r="AA33" s="567">
        <v>1541796</v>
      </c>
      <c r="AB33" s="416">
        <f>AA33-W33</f>
        <v>184001.95999999996</v>
      </c>
      <c r="AC33" s="773">
        <f t="shared" ref="AC33:AC41" si="22">IF(ISERROR(AB33/AA33),"-",AB33/AA33)</f>
        <v>0.11934261082529722</v>
      </c>
      <c r="AD33" s="1163"/>
      <c r="AE33" s="1182"/>
    </row>
    <row r="34" spans="1:31" x14ac:dyDescent="0.3">
      <c r="A34" s="1096" t="s">
        <v>79</v>
      </c>
      <c r="B34" s="414">
        <v>5400</v>
      </c>
      <c r="C34" s="415">
        <v>5400</v>
      </c>
      <c r="D34" s="416">
        <f t="shared" si="14"/>
        <v>0</v>
      </c>
      <c r="E34" s="194">
        <f t="shared" si="15"/>
        <v>0</v>
      </c>
      <c r="F34" s="171"/>
      <c r="G34" s="426">
        <v>5400</v>
      </c>
      <c r="H34" s="427">
        <v>5292</v>
      </c>
      <c r="I34" s="415">
        <f t="shared" ref="I34:I40" si="23">H34-G34</f>
        <v>-108</v>
      </c>
      <c r="J34" s="195">
        <f t="shared" si="16"/>
        <v>-0.02</v>
      </c>
      <c r="K34" s="1163"/>
      <c r="L34" s="414">
        <v>5400</v>
      </c>
      <c r="M34" s="415">
        <v>7445.4</v>
      </c>
      <c r="N34" s="415">
        <f t="shared" ref="N34:N40" si="24">M34-L34</f>
        <v>2045.3999999999996</v>
      </c>
      <c r="O34" s="196">
        <f t="shared" si="17"/>
        <v>0.37877777777777771</v>
      </c>
      <c r="P34" s="171"/>
      <c r="Q34" s="426">
        <v>5400</v>
      </c>
      <c r="R34" s="427">
        <v>5400</v>
      </c>
      <c r="S34" s="415">
        <f t="shared" si="18"/>
        <v>0</v>
      </c>
      <c r="T34" s="197">
        <f t="shared" si="19"/>
        <v>0</v>
      </c>
      <c r="U34" s="783"/>
      <c r="V34" s="414">
        <f t="shared" ref="V34:V40" si="25">SUM(B34+G34+L34+Q34)</f>
        <v>21600</v>
      </c>
      <c r="W34" s="415">
        <f>C34+H34+M34+R34</f>
        <v>23537.4</v>
      </c>
      <c r="X34" s="415">
        <f t="shared" si="20"/>
        <v>1937.4000000000015</v>
      </c>
      <c r="Y34" s="773">
        <f t="shared" si="21"/>
        <v>8.9694444444444507E-2</v>
      </c>
      <c r="Z34" s="951"/>
      <c r="AA34" s="567">
        <v>21600</v>
      </c>
      <c r="AB34" s="416">
        <f t="shared" ref="AB34:AB40" si="26">AA34-W34</f>
        <v>-1937.4000000000015</v>
      </c>
      <c r="AC34" s="773">
        <f t="shared" si="22"/>
        <v>-8.9694444444444507E-2</v>
      </c>
      <c r="AD34" s="1163"/>
      <c r="AE34" s="1179"/>
    </row>
    <row r="35" spans="1:31" x14ac:dyDescent="0.3">
      <c r="A35" s="1096" t="s">
        <v>81</v>
      </c>
      <c r="B35" s="414">
        <v>23061.5</v>
      </c>
      <c r="C35" s="415">
        <v>25575</v>
      </c>
      <c r="D35" s="416">
        <f t="shared" si="14"/>
        <v>2513.5</v>
      </c>
      <c r="E35" s="194">
        <f t="shared" si="15"/>
        <v>0.10899117576913904</v>
      </c>
      <c r="F35" s="171"/>
      <c r="G35" s="426">
        <v>23061.5</v>
      </c>
      <c r="H35" s="427">
        <v>22712.94</v>
      </c>
      <c r="I35" s="415">
        <f t="shared" si="23"/>
        <v>-348.56000000000131</v>
      </c>
      <c r="J35" s="195">
        <f t="shared" si="16"/>
        <v>-1.5114368102682015E-2</v>
      </c>
      <c r="K35" s="1163"/>
      <c r="L35" s="414">
        <v>23061.5</v>
      </c>
      <c r="M35" s="415">
        <v>20925</v>
      </c>
      <c r="N35" s="415">
        <f t="shared" si="24"/>
        <v>-2136.5</v>
      </c>
      <c r="O35" s="196">
        <f t="shared" si="17"/>
        <v>-9.2643583461613513E-2</v>
      </c>
      <c r="P35" s="171"/>
      <c r="Q35" s="426">
        <v>23061.5</v>
      </c>
      <c r="R35" s="427">
        <v>16911.28</v>
      </c>
      <c r="S35" s="415">
        <f t="shared" si="18"/>
        <v>-6150.2200000000012</v>
      </c>
      <c r="T35" s="197">
        <f t="shared" si="19"/>
        <v>-0.26668776965938906</v>
      </c>
      <c r="U35" s="783"/>
      <c r="V35" s="414">
        <f t="shared" si="25"/>
        <v>92246</v>
      </c>
      <c r="W35" s="415">
        <f t="shared" ref="W35:W40" si="27">C35+H35+M35+R35</f>
        <v>86124.22</v>
      </c>
      <c r="X35" s="415">
        <f t="shared" si="20"/>
        <v>-6121.7799999999988</v>
      </c>
      <c r="Y35" s="773">
        <f t="shared" si="21"/>
        <v>-6.6363636363636347E-2</v>
      </c>
      <c r="Z35" s="951"/>
      <c r="AA35" s="567">
        <v>92246</v>
      </c>
      <c r="AB35" s="416">
        <f t="shared" si="26"/>
        <v>6121.7799999999988</v>
      </c>
      <c r="AC35" s="773">
        <f t="shared" si="22"/>
        <v>6.6363636363636347E-2</v>
      </c>
      <c r="AD35" s="1163"/>
      <c r="AE35" s="1179"/>
    </row>
    <row r="36" spans="1:31" x14ac:dyDescent="0.3">
      <c r="A36" s="1096" t="s">
        <v>106</v>
      </c>
      <c r="B36" s="414">
        <v>15534.5</v>
      </c>
      <c r="C36" s="415">
        <v>14506.97</v>
      </c>
      <c r="D36" s="416">
        <f t="shared" si="14"/>
        <v>-1027.5300000000007</v>
      </c>
      <c r="E36" s="194">
        <f t="shared" si="15"/>
        <v>-6.6145032025491685E-2</v>
      </c>
      <c r="F36" s="230"/>
      <c r="G36" s="426">
        <v>15534.5</v>
      </c>
      <c r="H36" s="427">
        <v>14446.95</v>
      </c>
      <c r="I36" s="415">
        <f t="shared" si="23"/>
        <v>-1087.5499999999993</v>
      </c>
      <c r="J36" s="195">
        <f t="shared" si="16"/>
        <v>-7.0008690334416895E-2</v>
      </c>
      <c r="K36" s="1164"/>
      <c r="L36" s="414">
        <v>15534.5</v>
      </c>
      <c r="M36" s="415">
        <v>13695.27</v>
      </c>
      <c r="N36" s="415">
        <f t="shared" si="24"/>
        <v>-1839.2299999999996</v>
      </c>
      <c r="O36" s="196">
        <f t="shared" si="17"/>
        <v>-0.11839647236795517</v>
      </c>
      <c r="P36" s="230"/>
      <c r="Q36" s="426">
        <v>15534.5</v>
      </c>
      <c r="R36" s="427">
        <v>12673.59</v>
      </c>
      <c r="S36" s="415">
        <f t="shared" si="18"/>
        <v>-2860.91</v>
      </c>
      <c r="T36" s="197">
        <f t="shared" si="19"/>
        <v>-0.18416492323537931</v>
      </c>
      <c r="U36" s="785"/>
      <c r="V36" s="414">
        <f t="shared" si="25"/>
        <v>62138</v>
      </c>
      <c r="W36" s="415">
        <f t="shared" si="27"/>
        <v>55322.78</v>
      </c>
      <c r="X36" s="415">
        <f t="shared" si="20"/>
        <v>-6815.2200000000012</v>
      </c>
      <c r="Y36" s="773">
        <f t="shared" si="21"/>
        <v>-0.1096787794908108</v>
      </c>
      <c r="Z36" s="953"/>
      <c r="AA36" s="567">
        <v>62138</v>
      </c>
      <c r="AB36" s="416">
        <f t="shared" si="26"/>
        <v>6815.2200000000012</v>
      </c>
      <c r="AC36" s="773">
        <f t="shared" si="22"/>
        <v>0.1096787794908108</v>
      </c>
      <c r="AD36" s="1164"/>
      <c r="AE36" s="1178"/>
    </row>
    <row r="37" spans="1:31" x14ac:dyDescent="0.3">
      <c r="A37" s="1096" t="s">
        <v>80</v>
      </c>
      <c r="B37" s="414">
        <v>26300</v>
      </c>
      <c r="C37" s="415">
        <v>22337.360000000001</v>
      </c>
      <c r="D37" s="416">
        <f t="shared" si="14"/>
        <v>-3962.6399999999994</v>
      </c>
      <c r="E37" s="194">
        <f t="shared" si="15"/>
        <v>-0.15067072243346005</v>
      </c>
      <c r="F37" s="230"/>
      <c r="G37" s="426">
        <v>26300</v>
      </c>
      <c r="H37" s="427">
        <v>20069.32</v>
      </c>
      <c r="I37" s="415">
        <f t="shared" si="23"/>
        <v>-6230.68</v>
      </c>
      <c r="J37" s="195">
        <f t="shared" si="16"/>
        <v>-0.23690798479087455</v>
      </c>
      <c r="K37" s="1164"/>
      <c r="L37" s="414">
        <v>26300</v>
      </c>
      <c r="M37" s="415">
        <v>18669.04</v>
      </c>
      <c r="N37" s="415">
        <f t="shared" si="24"/>
        <v>-7630.9599999999991</v>
      </c>
      <c r="O37" s="196">
        <f t="shared" si="17"/>
        <v>-0.29015057034220532</v>
      </c>
      <c r="P37" s="230"/>
      <c r="Q37" s="426">
        <v>26300</v>
      </c>
      <c r="R37" s="427">
        <v>16489.809999999998</v>
      </c>
      <c r="S37" s="415">
        <f t="shared" si="18"/>
        <v>-9810.1900000000023</v>
      </c>
      <c r="T37" s="197">
        <f t="shared" si="19"/>
        <v>-0.37301102661596969</v>
      </c>
      <c r="U37" s="785"/>
      <c r="V37" s="414">
        <f t="shared" si="25"/>
        <v>105200</v>
      </c>
      <c r="W37" s="415">
        <f t="shared" si="27"/>
        <v>77565.53</v>
      </c>
      <c r="X37" s="415">
        <f t="shared" si="20"/>
        <v>-27634.47</v>
      </c>
      <c r="Y37" s="773">
        <f t="shared" si="21"/>
        <v>-0.26268507604562741</v>
      </c>
      <c r="Z37" s="953"/>
      <c r="AA37" s="567">
        <v>105200</v>
      </c>
      <c r="AB37" s="416">
        <f t="shared" si="26"/>
        <v>27634.47</v>
      </c>
      <c r="AC37" s="773">
        <f t="shared" si="22"/>
        <v>0.26268507604562741</v>
      </c>
      <c r="AD37" s="1164"/>
      <c r="AE37" s="1178"/>
    </row>
    <row r="38" spans="1:31" x14ac:dyDescent="0.3">
      <c r="A38" s="1096" t="s">
        <v>130</v>
      </c>
      <c r="B38" s="414">
        <v>18687.75</v>
      </c>
      <c r="C38" s="415">
        <v>19783.5</v>
      </c>
      <c r="D38" s="416">
        <f t="shared" si="14"/>
        <v>1095.75</v>
      </c>
      <c r="E38" s="194">
        <f t="shared" si="15"/>
        <v>5.8634667094754588E-2</v>
      </c>
      <c r="F38" s="171"/>
      <c r="G38" s="426">
        <v>18687.75</v>
      </c>
      <c r="H38" s="427">
        <v>19743</v>
      </c>
      <c r="I38" s="415">
        <f t="shared" si="23"/>
        <v>1055.25</v>
      </c>
      <c r="J38" s="195">
        <f t="shared" si="16"/>
        <v>5.6467472007063452E-2</v>
      </c>
      <c r="K38" s="1163"/>
      <c r="L38" s="414">
        <v>18687.75</v>
      </c>
      <c r="M38" s="415">
        <v>20227.5</v>
      </c>
      <c r="N38" s="415">
        <f t="shared" si="24"/>
        <v>1539.75</v>
      </c>
      <c r="O38" s="196">
        <f t="shared" si="17"/>
        <v>8.239354657462776E-2</v>
      </c>
      <c r="P38" s="171"/>
      <c r="Q38" s="426">
        <v>18687.75</v>
      </c>
      <c r="R38" s="427">
        <v>15153.6</v>
      </c>
      <c r="S38" s="415">
        <f t="shared" si="18"/>
        <v>-3534.1499999999996</v>
      </c>
      <c r="T38" s="197">
        <f t="shared" si="19"/>
        <v>-0.18911586467070673</v>
      </c>
      <c r="U38" s="783"/>
      <c r="V38" s="414">
        <f t="shared" si="25"/>
        <v>74751</v>
      </c>
      <c r="W38" s="415">
        <f t="shared" si="27"/>
        <v>74907.600000000006</v>
      </c>
      <c r="X38" s="415">
        <f t="shared" si="20"/>
        <v>156.60000000000582</v>
      </c>
      <c r="Y38" s="773">
        <f t="shared" si="21"/>
        <v>2.0949552514348412E-3</v>
      </c>
      <c r="Z38" s="951"/>
      <c r="AA38" s="567">
        <v>74751</v>
      </c>
      <c r="AB38" s="416">
        <f t="shared" si="26"/>
        <v>-156.60000000000582</v>
      </c>
      <c r="AC38" s="773">
        <f t="shared" si="22"/>
        <v>-2.0949552514348412E-3</v>
      </c>
      <c r="AD38" s="1163"/>
      <c r="AE38" s="1179"/>
    </row>
    <row r="39" spans="1:31" x14ac:dyDescent="0.3">
      <c r="A39" s="1096" t="s">
        <v>129</v>
      </c>
      <c r="B39" s="414">
        <v>5000</v>
      </c>
      <c r="C39" s="415">
        <v>0</v>
      </c>
      <c r="D39" s="416">
        <f t="shared" si="14"/>
        <v>-5000</v>
      </c>
      <c r="E39" s="194">
        <f t="shared" si="15"/>
        <v>-1</v>
      </c>
      <c r="F39" s="171"/>
      <c r="G39" s="426">
        <v>5000</v>
      </c>
      <c r="H39" s="427">
        <v>0</v>
      </c>
      <c r="I39" s="415">
        <f t="shared" si="23"/>
        <v>-5000</v>
      </c>
      <c r="J39" s="195">
        <f t="shared" si="16"/>
        <v>-1</v>
      </c>
      <c r="K39" s="1163"/>
      <c r="L39" s="414">
        <v>5000</v>
      </c>
      <c r="M39" s="415">
        <v>0</v>
      </c>
      <c r="N39" s="415">
        <f t="shared" si="24"/>
        <v>-5000</v>
      </c>
      <c r="O39" s="196">
        <f t="shared" si="17"/>
        <v>-1</v>
      </c>
      <c r="P39" s="171"/>
      <c r="Q39" s="426">
        <v>5000</v>
      </c>
      <c r="R39" s="427">
        <v>0</v>
      </c>
      <c r="S39" s="415">
        <f t="shared" si="18"/>
        <v>-5000</v>
      </c>
      <c r="T39" s="197">
        <f t="shared" si="19"/>
        <v>-1</v>
      </c>
      <c r="U39" s="783"/>
      <c r="V39" s="414">
        <f t="shared" si="25"/>
        <v>20000</v>
      </c>
      <c r="W39" s="415">
        <f t="shared" si="27"/>
        <v>0</v>
      </c>
      <c r="X39" s="415">
        <f t="shared" si="20"/>
        <v>-20000</v>
      </c>
      <c r="Y39" s="773">
        <f t="shared" si="21"/>
        <v>-1</v>
      </c>
      <c r="Z39" s="951"/>
      <c r="AA39" s="567">
        <v>20000</v>
      </c>
      <c r="AB39" s="416">
        <f t="shared" si="26"/>
        <v>20000</v>
      </c>
      <c r="AC39" s="773">
        <f t="shared" si="22"/>
        <v>1</v>
      </c>
      <c r="AD39" s="1163"/>
      <c r="AE39" s="1179"/>
    </row>
    <row r="40" spans="1:31" x14ac:dyDescent="0.3">
      <c r="A40" s="1268" t="s">
        <v>40</v>
      </c>
      <c r="B40" s="440">
        <v>7250</v>
      </c>
      <c r="C40" s="415">
        <v>8857.9599999999991</v>
      </c>
      <c r="D40" s="416">
        <f t="shared" si="14"/>
        <v>1607.9599999999991</v>
      </c>
      <c r="E40" s="233">
        <f t="shared" si="15"/>
        <v>0.22178758620689643</v>
      </c>
      <c r="F40" s="166"/>
      <c r="G40" s="442">
        <v>7250</v>
      </c>
      <c r="H40" s="443">
        <v>5593.63</v>
      </c>
      <c r="I40" s="415">
        <f t="shared" si="23"/>
        <v>-1656.37</v>
      </c>
      <c r="J40" s="234">
        <f t="shared" si="16"/>
        <v>-0.22846482758620687</v>
      </c>
      <c r="K40" s="1162"/>
      <c r="L40" s="414">
        <v>7250</v>
      </c>
      <c r="M40" s="415">
        <v>11750.55</v>
      </c>
      <c r="N40" s="415">
        <f t="shared" si="24"/>
        <v>4500.5499999999993</v>
      </c>
      <c r="O40" s="235">
        <f t="shared" si="17"/>
        <v>0.62076551724137918</v>
      </c>
      <c r="P40" s="166"/>
      <c r="Q40" s="426">
        <v>7250</v>
      </c>
      <c r="R40" s="427">
        <v>7829.71</v>
      </c>
      <c r="S40" s="415">
        <f t="shared" si="18"/>
        <v>579.71</v>
      </c>
      <c r="T40" s="208">
        <f t="shared" si="19"/>
        <v>7.9960000000000003E-2</v>
      </c>
      <c r="U40" s="782"/>
      <c r="V40" s="414">
        <f t="shared" si="25"/>
        <v>29000</v>
      </c>
      <c r="W40" s="415">
        <f t="shared" si="27"/>
        <v>34031.85</v>
      </c>
      <c r="X40" s="415">
        <f t="shared" si="20"/>
        <v>5031.8499999999985</v>
      </c>
      <c r="Y40" s="774">
        <f t="shared" si="21"/>
        <v>0.17351206896551719</v>
      </c>
      <c r="Z40" s="951"/>
      <c r="AA40" s="567">
        <v>29000</v>
      </c>
      <c r="AB40" s="416">
        <f t="shared" si="26"/>
        <v>-5031.8499999999985</v>
      </c>
      <c r="AC40" s="774">
        <f t="shared" si="22"/>
        <v>-0.17351206896551719</v>
      </c>
      <c r="AD40" s="1162"/>
      <c r="AE40" s="1179"/>
    </row>
    <row r="41" spans="1:31" x14ac:dyDescent="0.3">
      <c r="A41" s="1265" t="s">
        <v>83</v>
      </c>
      <c r="B41" s="432">
        <f>SUM(B33:B40)</f>
        <v>473986.75</v>
      </c>
      <c r="C41" s="433">
        <f>SUM(C33:C40)</f>
        <v>445210.79</v>
      </c>
      <c r="D41" s="433">
        <f>SUM(D33:D40)</f>
        <v>-28775.96</v>
      </c>
      <c r="E41" s="211">
        <f>IF(ISERROR(D41/B41),"-",D41/B41)</f>
        <v>-6.0710473446778837E-2</v>
      </c>
      <c r="F41" s="171"/>
      <c r="G41" s="432">
        <f>SUM(G33:G40)</f>
        <v>473986.75</v>
      </c>
      <c r="H41" s="754">
        <f>SUM(H33:H40)</f>
        <v>462388.2</v>
      </c>
      <c r="I41" s="433">
        <f>SUM(I33:I40)</f>
        <v>-11598.550000000014</v>
      </c>
      <c r="J41" s="211">
        <f t="shared" si="16"/>
        <v>-2.4470198797751232E-2</v>
      </c>
      <c r="K41" s="1163"/>
      <c r="L41" s="432">
        <f>SUM(L33:L40)</f>
        <v>473986.75</v>
      </c>
      <c r="M41" s="433">
        <f>SUM(M33:M40)</f>
        <v>438013.56</v>
      </c>
      <c r="N41" s="433">
        <f>SUM(N33:N40)</f>
        <v>-35973.19</v>
      </c>
      <c r="O41" s="212">
        <f t="shared" si="17"/>
        <v>-7.589492744259202E-2</v>
      </c>
      <c r="P41" s="171"/>
      <c r="Q41" s="432">
        <f>SUM(Q33:Q40)</f>
        <v>473986.75</v>
      </c>
      <c r="R41" s="433">
        <f>SUM(R33:R40)</f>
        <v>363670.87000000005</v>
      </c>
      <c r="S41" s="433">
        <f>SUM(S33:S40)</f>
        <v>-110315.87999999999</v>
      </c>
      <c r="T41" s="212">
        <f t="shared" si="19"/>
        <v>-0.23274042998037389</v>
      </c>
      <c r="U41" s="783"/>
      <c r="V41" s="432">
        <f>SUM(V33:V40)</f>
        <v>1895947</v>
      </c>
      <c r="W41" s="433">
        <f>SUM(W33:W40)</f>
        <v>1709283.4200000002</v>
      </c>
      <c r="X41" s="433">
        <f>SUM(X33:X40)</f>
        <v>-186663.57999999996</v>
      </c>
      <c r="Y41" s="1214">
        <f t="shared" si="21"/>
        <v>-9.8454007416873976E-2</v>
      </c>
      <c r="Z41" s="951"/>
      <c r="AA41" s="952">
        <f>SUM(AA33:AA40)</f>
        <v>1946731</v>
      </c>
      <c r="AB41" s="435">
        <f>SUM(AB33:AB40)</f>
        <v>237447.57999999996</v>
      </c>
      <c r="AC41" s="775">
        <f t="shared" si="22"/>
        <v>0.12197246563598153</v>
      </c>
      <c r="AD41" s="1163"/>
      <c r="AE41" s="1181"/>
    </row>
    <row r="42" spans="1:31" x14ac:dyDescent="0.3">
      <c r="A42" s="1266"/>
      <c r="B42" s="422"/>
      <c r="C42" s="423"/>
      <c r="D42" s="423"/>
      <c r="E42" s="187"/>
      <c r="F42" s="166"/>
      <c r="G42" s="1225"/>
      <c r="H42" s="1230"/>
      <c r="I42" s="788"/>
      <c r="J42" s="190"/>
      <c r="K42" s="1162"/>
      <c r="L42" s="422"/>
      <c r="M42" s="423"/>
      <c r="N42" s="423"/>
      <c r="O42" s="191"/>
      <c r="P42" s="166"/>
      <c r="Q42" s="424"/>
      <c r="R42" s="425"/>
      <c r="S42" s="425"/>
      <c r="T42" s="239"/>
      <c r="U42" s="782"/>
      <c r="V42" s="422"/>
      <c r="W42" s="423"/>
      <c r="X42" s="423"/>
      <c r="Y42" s="768"/>
      <c r="Z42" s="951"/>
      <c r="AA42" s="566"/>
      <c r="AB42" s="423"/>
      <c r="AC42" s="768"/>
      <c r="AD42" s="1162"/>
      <c r="AE42" s="1178"/>
    </row>
    <row r="43" spans="1:31" x14ac:dyDescent="0.3">
      <c r="A43" s="1256" t="s">
        <v>84</v>
      </c>
      <c r="B43" s="444"/>
      <c r="C43" s="445"/>
      <c r="D43" s="445"/>
      <c r="E43" s="242"/>
      <c r="F43" s="160"/>
      <c r="G43" s="1226"/>
      <c r="H43" s="1231"/>
      <c r="I43" s="791"/>
      <c r="J43" s="245"/>
      <c r="K43" s="1168"/>
      <c r="L43" s="444"/>
      <c r="M43" s="445"/>
      <c r="N43" s="445"/>
      <c r="O43" s="246"/>
      <c r="P43" s="160"/>
      <c r="Q43" s="446"/>
      <c r="R43" s="447"/>
      <c r="S43" s="447"/>
      <c r="T43" s="247"/>
      <c r="U43" s="781"/>
      <c r="V43" s="444"/>
      <c r="W43" s="445"/>
      <c r="X43" s="415"/>
      <c r="Y43" s="769"/>
      <c r="Z43" s="950"/>
      <c r="AA43" s="571"/>
      <c r="AB43" s="415"/>
      <c r="AC43" s="769"/>
      <c r="AD43" s="1168"/>
      <c r="AE43" s="1178"/>
    </row>
    <row r="44" spans="1:31" ht="26.25" customHeight="1" x14ac:dyDescent="0.3">
      <c r="A44" s="1096" t="s">
        <v>85</v>
      </c>
      <c r="B44" s="414">
        <v>1132554.5</v>
      </c>
      <c r="C44" s="415">
        <v>1466936.8899999997</v>
      </c>
      <c r="D44" s="416">
        <f t="shared" ref="D44:D75" si="28">C44-B44</f>
        <v>334382.38999999966</v>
      </c>
      <c r="E44" s="194">
        <f>IF(ISERROR(D44/B44),"-",D44/B44)</f>
        <v>0.2952461802058971</v>
      </c>
      <c r="F44" s="171"/>
      <c r="G44" s="1065">
        <v>1132554.5</v>
      </c>
      <c r="H44" s="1042">
        <v>1579465.1500000001</v>
      </c>
      <c r="I44" s="567">
        <f t="shared" ref="I44:I75" si="29">H44-G44</f>
        <v>446910.65000000014</v>
      </c>
      <c r="J44" s="195">
        <f t="shared" ref="J44:J75" si="30">IF(ISERROR(I44/G44),"-",I44/G44)</f>
        <v>0.3946041007298105</v>
      </c>
      <c r="K44" s="1163"/>
      <c r="L44" s="414">
        <v>1132554.5</v>
      </c>
      <c r="M44" s="415">
        <v>993930.53</v>
      </c>
      <c r="N44" s="415">
        <f t="shared" ref="N44:N75" si="31">M44-L44</f>
        <v>-138623.96999999997</v>
      </c>
      <c r="O44" s="196">
        <f t="shared" ref="O44:O73" si="32">IF(ISERROR(N44/L44),"-",N44/L44)</f>
        <v>-0.12239938122183081</v>
      </c>
      <c r="P44" s="171"/>
      <c r="Q44" s="426">
        <v>1132554.5</v>
      </c>
      <c r="R44" s="427">
        <v>1579864.17</v>
      </c>
      <c r="S44" s="415">
        <f t="shared" ref="S44:S75" si="33">R44-Q44</f>
        <v>447309.66999999993</v>
      </c>
      <c r="T44" s="197">
        <f t="shared" ref="T44:T72" si="34">IF(ISERROR(S44/Q44),"-",S44/Q44)</f>
        <v>0.39495641931580328</v>
      </c>
      <c r="U44" s="783"/>
      <c r="V44" s="414">
        <f>B44+G44+L44+Q44</f>
        <v>4530218</v>
      </c>
      <c r="W44" s="415">
        <f t="shared" ref="W44:W75" si="35">C44+H44+M44+R44</f>
        <v>5620196.7400000002</v>
      </c>
      <c r="X44" s="415">
        <f t="shared" ref="X44:X75" si="36">W44-V44</f>
        <v>1089978.7400000002</v>
      </c>
      <c r="Y44" s="773">
        <f t="shared" ref="Y44:Y76" si="37">IF(ISERROR(X44/V44),"-",X44/V44)</f>
        <v>0.24060182975742012</v>
      </c>
      <c r="Z44" s="951"/>
      <c r="AA44" s="567">
        <v>12282910</v>
      </c>
      <c r="AB44" s="416">
        <f t="shared" ref="AB44:AB75" si="38">AA44-W44</f>
        <v>6662713.2599999998</v>
      </c>
      <c r="AC44" s="773">
        <f t="shared" ref="AC44:AC76" si="39">IF(ISERROR(AB44/AA44),"-",AB44/AA44)</f>
        <v>0.54243768455520713</v>
      </c>
      <c r="AD44" s="1163"/>
      <c r="AE44" s="1664"/>
    </row>
    <row r="45" spans="1:31" x14ac:dyDescent="0.3">
      <c r="A45" s="1096" t="s">
        <v>128</v>
      </c>
      <c r="B45" s="414">
        <v>55444</v>
      </c>
      <c r="C45" s="415">
        <v>14277.03</v>
      </c>
      <c r="D45" s="416">
        <f t="shared" si="28"/>
        <v>-41166.97</v>
      </c>
      <c r="E45" s="194">
        <f t="shared" ref="E45:E76" si="40">IF(ISERROR(D45/B45),"-",D45/B45)</f>
        <v>-0.74249639275665535</v>
      </c>
      <c r="F45" s="230"/>
      <c r="G45" s="1065">
        <v>55444</v>
      </c>
      <c r="H45" s="1042">
        <v>0</v>
      </c>
      <c r="I45" s="567">
        <f t="shared" si="29"/>
        <v>-55444</v>
      </c>
      <c r="J45" s="195">
        <f t="shared" si="30"/>
        <v>-1</v>
      </c>
      <c r="K45" s="1164"/>
      <c r="L45" s="414">
        <v>55444</v>
      </c>
      <c r="M45" s="415">
        <v>0</v>
      </c>
      <c r="N45" s="415">
        <f t="shared" si="31"/>
        <v>-55444</v>
      </c>
      <c r="O45" s="196">
        <f t="shared" si="32"/>
        <v>-1</v>
      </c>
      <c r="P45" s="230"/>
      <c r="Q45" s="426">
        <v>55444</v>
      </c>
      <c r="R45" s="427">
        <v>9210.2900000000009</v>
      </c>
      <c r="S45" s="415">
        <f t="shared" si="33"/>
        <v>-46233.71</v>
      </c>
      <c r="T45" s="197">
        <f t="shared" si="34"/>
        <v>-0.83388121347666111</v>
      </c>
      <c r="U45" s="785"/>
      <c r="V45" s="414">
        <f>B45+G45+L45+Q45</f>
        <v>221776</v>
      </c>
      <c r="W45" s="415">
        <f t="shared" si="35"/>
        <v>23487.32</v>
      </c>
      <c r="X45" s="415">
        <f t="shared" si="36"/>
        <v>-198288.68</v>
      </c>
      <c r="Y45" s="773">
        <f t="shared" si="37"/>
        <v>-0.89409440155832909</v>
      </c>
      <c r="Z45" s="953"/>
      <c r="AA45" s="567">
        <v>221776</v>
      </c>
      <c r="AB45" s="416">
        <f t="shared" si="38"/>
        <v>198288.68</v>
      </c>
      <c r="AC45" s="773">
        <f t="shared" si="39"/>
        <v>0.89409440155832909</v>
      </c>
      <c r="AD45" s="1164"/>
      <c r="AE45" s="1180"/>
    </row>
    <row r="46" spans="1:31" x14ac:dyDescent="0.3">
      <c r="A46" s="1096" t="s">
        <v>127</v>
      </c>
      <c r="B46" s="414">
        <v>0</v>
      </c>
      <c r="C46" s="415">
        <v>0</v>
      </c>
      <c r="D46" s="416">
        <f t="shared" si="28"/>
        <v>0</v>
      </c>
      <c r="E46" s="194" t="str">
        <f>IF(ISERROR(D46/B46),"-",D46/B46)</f>
        <v>-</v>
      </c>
      <c r="F46" s="230"/>
      <c r="G46" s="1065">
        <v>0</v>
      </c>
      <c r="H46" s="415">
        <v>0</v>
      </c>
      <c r="I46" s="567">
        <f t="shared" si="29"/>
        <v>0</v>
      </c>
      <c r="J46" s="195" t="str">
        <f>IF(ISERROR(I46/G46),"-",I46/G46)</f>
        <v>-</v>
      </c>
      <c r="K46" s="1164"/>
      <c r="L46" s="414">
        <v>0</v>
      </c>
      <c r="M46" s="415">
        <v>0</v>
      </c>
      <c r="N46" s="415">
        <f t="shared" si="31"/>
        <v>0</v>
      </c>
      <c r="O46" s="196" t="str">
        <f t="shared" si="32"/>
        <v>-</v>
      </c>
      <c r="P46" s="230"/>
      <c r="Q46" s="426">
        <v>0</v>
      </c>
      <c r="R46" s="415">
        <v>0</v>
      </c>
      <c r="S46" s="415">
        <f t="shared" si="33"/>
        <v>0</v>
      </c>
      <c r="T46" s="197" t="str">
        <f t="shared" si="34"/>
        <v>-</v>
      </c>
      <c r="U46" s="785"/>
      <c r="V46" s="414">
        <f t="shared" ref="V46:V75" si="41">B46+G46+L46+Q46</f>
        <v>0</v>
      </c>
      <c r="W46" s="415">
        <f t="shared" si="35"/>
        <v>0</v>
      </c>
      <c r="X46" s="415">
        <f t="shared" si="36"/>
        <v>0</v>
      </c>
      <c r="Y46" s="773" t="str">
        <f t="shared" si="37"/>
        <v>-</v>
      </c>
      <c r="Z46" s="953"/>
      <c r="AA46" s="567">
        <v>0</v>
      </c>
      <c r="AB46" s="416">
        <f t="shared" si="38"/>
        <v>0</v>
      </c>
      <c r="AC46" s="773" t="str">
        <f t="shared" si="39"/>
        <v>-</v>
      </c>
      <c r="AD46" s="1164"/>
      <c r="AE46" s="1178"/>
    </row>
    <row r="47" spans="1:31" x14ac:dyDescent="0.3">
      <c r="A47" s="1096" t="s">
        <v>86</v>
      </c>
      <c r="B47" s="414">
        <v>9000</v>
      </c>
      <c r="C47" s="415">
        <v>7383.2</v>
      </c>
      <c r="D47" s="416">
        <f t="shared" si="28"/>
        <v>-1616.8000000000002</v>
      </c>
      <c r="E47" s="194">
        <f>IF(ISERROR(D47/B47),"-",D47/B47)</f>
        <v>-0.17964444444444447</v>
      </c>
      <c r="F47" s="230"/>
      <c r="G47" s="1065">
        <v>9000</v>
      </c>
      <c r="H47" s="1042">
        <v>7497.62</v>
      </c>
      <c r="I47" s="567">
        <f t="shared" si="29"/>
        <v>-1502.38</v>
      </c>
      <c r="J47" s="195">
        <f t="shared" si="30"/>
        <v>-0.16693111111111111</v>
      </c>
      <c r="K47" s="1164"/>
      <c r="L47" s="414">
        <v>9000</v>
      </c>
      <c r="M47" s="415">
        <v>7994.25</v>
      </c>
      <c r="N47" s="415">
        <f t="shared" si="31"/>
        <v>-1005.75</v>
      </c>
      <c r="O47" s="196">
        <f t="shared" si="32"/>
        <v>-0.11175</v>
      </c>
      <c r="P47" s="230"/>
      <c r="Q47" s="426">
        <v>9000</v>
      </c>
      <c r="R47" s="427">
        <v>6711.92</v>
      </c>
      <c r="S47" s="415">
        <f t="shared" si="33"/>
        <v>-2288.08</v>
      </c>
      <c r="T47" s="197">
        <f t="shared" si="34"/>
        <v>-0.25423111111111113</v>
      </c>
      <c r="U47" s="785"/>
      <c r="V47" s="414">
        <f t="shared" si="41"/>
        <v>36000</v>
      </c>
      <c r="W47" s="415">
        <f t="shared" si="35"/>
        <v>29586.989999999998</v>
      </c>
      <c r="X47" s="415">
        <f t="shared" si="36"/>
        <v>-6413.010000000002</v>
      </c>
      <c r="Y47" s="773">
        <f t="shared" si="37"/>
        <v>-0.17813916666666671</v>
      </c>
      <c r="Z47" s="953"/>
      <c r="AA47" s="567">
        <v>36000</v>
      </c>
      <c r="AB47" s="416">
        <f t="shared" si="38"/>
        <v>6413.010000000002</v>
      </c>
      <c r="AC47" s="773">
        <f t="shared" si="39"/>
        <v>0.17813916666666671</v>
      </c>
      <c r="AD47" s="1164"/>
      <c r="AE47" s="1183"/>
    </row>
    <row r="48" spans="1:31" x14ac:dyDescent="0.3">
      <c r="A48" s="1096" t="s">
        <v>87</v>
      </c>
      <c r="B48" s="414">
        <v>0</v>
      </c>
      <c r="C48" s="415">
        <v>0</v>
      </c>
      <c r="D48" s="416">
        <f t="shared" si="28"/>
        <v>0</v>
      </c>
      <c r="E48" s="194" t="str">
        <f t="shared" si="40"/>
        <v>-</v>
      </c>
      <c r="F48" s="230"/>
      <c r="G48" s="1065">
        <v>0</v>
      </c>
      <c r="H48" s="1042">
        <v>0</v>
      </c>
      <c r="I48" s="567">
        <f t="shared" si="29"/>
        <v>0</v>
      </c>
      <c r="J48" s="195" t="str">
        <f t="shared" si="30"/>
        <v>-</v>
      </c>
      <c r="K48" s="1164"/>
      <c r="L48" s="414">
        <v>0</v>
      </c>
      <c r="M48" s="415">
        <v>0</v>
      </c>
      <c r="N48" s="415">
        <f t="shared" si="31"/>
        <v>0</v>
      </c>
      <c r="O48" s="196" t="str">
        <f t="shared" si="32"/>
        <v>-</v>
      </c>
      <c r="P48" s="230"/>
      <c r="Q48" s="426">
        <v>0</v>
      </c>
      <c r="R48" s="415">
        <v>0</v>
      </c>
      <c r="S48" s="415">
        <f t="shared" si="33"/>
        <v>0</v>
      </c>
      <c r="T48" s="197" t="str">
        <f t="shared" si="34"/>
        <v>-</v>
      </c>
      <c r="U48" s="785"/>
      <c r="V48" s="414">
        <f t="shared" si="41"/>
        <v>0</v>
      </c>
      <c r="W48" s="415">
        <f t="shared" si="35"/>
        <v>0</v>
      </c>
      <c r="X48" s="415">
        <f t="shared" si="36"/>
        <v>0</v>
      </c>
      <c r="Y48" s="773" t="str">
        <f t="shared" si="37"/>
        <v>-</v>
      </c>
      <c r="Z48" s="953"/>
      <c r="AA48" s="567">
        <v>0</v>
      </c>
      <c r="AB48" s="416">
        <f t="shared" si="38"/>
        <v>0</v>
      </c>
      <c r="AC48" s="773" t="str">
        <f t="shared" si="39"/>
        <v>-</v>
      </c>
      <c r="AD48" s="1164"/>
      <c r="AE48" s="1178"/>
    </row>
    <row r="49" spans="1:31" x14ac:dyDescent="0.3">
      <c r="A49" s="1096" t="s">
        <v>88</v>
      </c>
      <c r="B49" s="414">
        <v>12325</v>
      </c>
      <c r="C49" s="415">
        <v>17474.25</v>
      </c>
      <c r="D49" s="416">
        <f t="shared" si="28"/>
        <v>5149.25</v>
      </c>
      <c r="E49" s="194">
        <f>IF(ISERROR(D49/B49),"-",D49/B49)</f>
        <v>0.41778904665314404</v>
      </c>
      <c r="F49" s="171"/>
      <c r="G49" s="1065">
        <v>12325</v>
      </c>
      <c r="H49" s="1042">
        <v>13303</v>
      </c>
      <c r="I49" s="567">
        <f t="shared" si="29"/>
        <v>978</v>
      </c>
      <c r="J49" s="195">
        <f t="shared" si="30"/>
        <v>7.9350912778904659E-2</v>
      </c>
      <c r="K49" s="1163"/>
      <c r="L49" s="414">
        <v>12325</v>
      </c>
      <c r="M49" s="415">
        <v>12878.73</v>
      </c>
      <c r="N49" s="415">
        <f t="shared" si="31"/>
        <v>553.72999999999956</v>
      </c>
      <c r="O49" s="196">
        <f t="shared" si="32"/>
        <v>4.4927383367139924E-2</v>
      </c>
      <c r="P49" s="171"/>
      <c r="Q49" s="426">
        <v>12325</v>
      </c>
      <c r="R49" s="427">
        <v>11220.8</v>
      </c>
      <c r="S49" s="415">
        <f t="shared" si="33"/>
        <v>-1104.2000000000007</v>
      </c>
      <c r="T49" s="197">
        <f t="shared" si="34"/>
        <v>-8.959026369168363E-2</v>
      </c>
      <c r="U49" s="783"/>
      <c r="V49" s="414">
        <f>B49+G49+L49+Q49</f>
        <v>49300</v>
      </c>
      <c r="W49" s="415">
        <f t="shared" si="35"/>
        <v>54876.78</v>
      </c>
      <c r="X49" s="415">
        <f t="shared" si="36"/>
        <v>5576.7799999999988</v>
      </c>
      <c r="Y49" s="773">
        <f t="shared" si="37"/>
        <v>0.11311926977687624</v>
      </c>
      <c r="Z49" s="951"/>
      <c r="AA49" s="567">
        <v>50000</v>
      </c>
      <c r="AB49" s="416">
        <f t="shared" si="38"/>
        <v>-4876.7799999999988</v>
      </c>
      <c r="AC49" s="773">
        <f t="shared" si="39"/>
        <v>-9.7535599999999972E-2</v>
      </c>
      <c r="AD49" s="1163"/>
      <c r="AE49" s="1183"/>
    </row>
    <row r="50" spans="1:31" x14ac:dyDescent="0.3">
      <c r="A50" s="1096" t="s">
        <v>89</v>
      </c>
      <c r="B50" s="414">
        <v>0</v>
      </c>
      <c r="C50" s="415">
        <v>0</v>
      </c>
      <c r="D50" s="416">
        <f t="shared" si="28"/>
        <v>0</v>
      </c>
      <c r="E50" s="194" t="str">
        <f t="shared" si="40"/>
        <v>-</v>
      </c>
      <c r="F50" s="171"/>
      <c r="G50" s="1065">
        <v>0</v>
      </c>
      <c r="H50" s="1042">
        <v>0</v>
      </c>
      <c r="I50" s="567">
        <f t="shared" si="29"/>
        <v>0</v>
      </c>
      <c r="J50" s="195" t="str">
        <f t="shared" si="30"/>
        <v>-</v>
      </c>
      <c r="K50" s="1163"/>
      <c r="L50" s="414">
        <v>0</v>
      </c>
      <c r="M50" s="415">
        <v>0</v>
      </c>
      <c r="N50" s="415">
        <f t="shared" si="31"/>
        <v>0</v>
      </c>
      <c r="O50" s="196" t="str">
        <f t="shared" si="32"/>
        <v>-</v>
      </c>
      <c r="P50" s="171"/>
      <c r="Q50" s="426">
        <v>0</v>
      </c>
      <c r="R50" s="415">
        <v>0</v>
      </c>
      <c r="S50" s="415">
        <f t="shared" si="33"/>
        <v>0</v>
      </c>
      <c r="T50" s="197" t="str">
        <f t="shared" si="34"/>
        <v>-</v>
      </c>
      <c r="U50" s="783"/>
      <c r="V50" s="414">
        <f t="shared" si="41"/>
        <v>0</v>
      </c>
      <c r="W50" s="415">
        <f t="shared" si="35"/>
        <v>0</v>
      </c>
      <c r="X50" s="415">
        <f t="shared" si="36"/>
        <v>0</v>
      </c>
      <c r="Y50" s="773" t="str">
        <f t="shared" si="37"/>
        <v>-</v>
      </c>
      <c r="Z50" s="951"/>
      <c r="AA50" s="567">
        <v>0</v>
      </c>
      <c r="AB50" s="416">
        <f t="shared" si="38"/>
        <v>0</v>
      </c>
      <c r="AC50" s="773" t="str">
        <f t="shared" si="39"/>
        <v>-</v>
      </c>
      <c r="AD50" s="1163"/>
      <c r="AE50" s="1183"/>
    </row>
    <row r="51" spans="1:31" x14ac:dyDescent="0.3">
      <c r="A51" s="1096" t="s">
        <v>113</v>
      </c>
      <c r="B51" s="414">
        <v>0</v>
      </c>
      <c r="C51" s="415">
        <v>0</v>
      </c>
      <c r="D51" s="416">
        <f t="shared" si="28"/>
        <v>0</v>
      </c>
      <c r="E51" s="194" t="str">
        <f t="shared" si="40"/>
        <v>-</v>
      </c>
      <c r="F51" s="171"/>
      <c r="G51" s="1065">
        <v>0</v>
      </c>
      <c r="H51" s="1042">
        <v>0</v>
      </c>
      <c r="I51" s="567">
        <f t="shared" si="29"/>
        <v>0</v>
      </c>
      <c r="J51" s="195" t="str">
        <f t="shared" si="30"/>
        <v>-</v>
      </c>
      <c r="K51" s="1163"/>
      <c r="L51" s="414">
        <v>0</v>
      </c>
      <c r="M51" s="415">
        <v>0</v>
      </c>
      <c r="N51" s="415">
        <f t="shared" si="31"/>
        <v>0</v>
      </c>
      <c r="O51" s="196"/>
      <c r="P51" s="171"/>
      <c r="Q51" s="426">
        <v>0</v>
      </c>
      <c r="R51" s="415">
        <v>0</v>
      </c>
      <c r="S51" s="415">
        <f t="shared" si="33"/>
        <v>0</v>
      </c>
      <c r="T51" s="197"/>
      <c r="U51" s="783"/>
      <c r="V51" s="414">
        <f t="shared" si="41"/>
        <v>0</v>
      </c>
      <c r="W51" s="415">
        <f t="shared" si="35"/>
        <v>0</v>
      </c>
      <c r="X51" s="415">
        <f t="shared" si="36"/>
        <v>0</v>
      </c>
      <c r="Y51" s="773"/>
      <c r="Z51" s="951"/>
      <c r="AA51" s="567">
        <v>0</v>
      </c>
      <c r="AB51" s="416">
        <f t="shared" si="38"/>
        <v>0</v>
      </c>
      <c r="AC51" s="773" t="str">
        <f t="shared" si="39"/>
        <v>-</v>
      </c>
      <c r="AD51" s="1163"/>
      <c r="AE51" s="1183"/>
    </row>
    <row r="52" spans="1:31" x14ac:dyDescent="0.3">
      <c r="A52" s="1096" t="s">
        <v>126</v>
      </c>
      <c r="B52" s="414">
        <v>0</v>
      </c>
      <c r="C52" s="415">
        <v>0</v>
      </c>
      <c r="D52" s="416">
        <f t="shared" si="28"/>
        <v>0</v>
      </c>
      <c r="E52" s="194" t="str">
        <f t="shared" si="40"/>
        <v>-</v>
      </c>
      <c r="F52" s="230"/>
      <c r="G52" s="1065">
        <v>0</v>
      </c>
      <c r="H52" s="1042">
        <v>0</v>
      </c>
      <c r="I52" s="567">
        <f t="shared" si="29"/>
        <v>0</v>
      </c>
      <c r="J52" s="195" t="str">
        <f t="shared" si="30"/>
        <v>-</v>
      </c>
      <c r="K52" s="1164"/>
      <c r="L52" s="414">
        <v>0</v>
      </c>
      <c r="M52" s="415">
        <v>0</v>
      </c>
      <c r="N52" s="415">
        <f t="shared" si="31"/>
        <v>0</v>
      </c>
      <c r="O52" s="196" t="str">
        <f t="shared" si="32"/>
        <v>-</v>
      </c>
      <c r="P52" s="230"/>
      <c r="Q52" s="426">
        <v>0</v>
      </c>
      <c r="R52" s="427">
        <v>150307.59</v>
      </c>
      <c r="S52" s="415">
        <f t="shared" si="33"/>
        <v>150307.59</v>
      </c>
      <c r="T52" s="197" t="str">
        <f t="shared" si="34"/>
        <v>-</v>
      </c>
      <c r="U52" s="785"/>
      <c r="V52" s="414">
        <f t="shared" si="41"/>
        <v>0</v>
      </c>
      <c r="W52" s="415">
        <f t="shared" si="35"/>
        <v>150307.59</v>
      </c>
      <c r="X52" s="415">
        <f t="shared" si="36"/>
        <v>150307.59</v>
      </c>
      <c r="Y52" s="773" t="str">
        <f t="shared" si="37"/>
        <v>-</v>
      </c>
      <c r="Z52" s="953"/>
      <c r="AA52" s="567">
        <v>0</v>
      </c>
      <c r="AB52" s="416">
        <f t="shared" si="38"/>
        <v>-150307.59</v>
      </c>
      <c r="AC52" s="773" t="str">
        <f t="shared" si="39"/>
        <v>-</v>
      </c>
      <c r="AD52" s="1164"/>
      <c r="AE52" s="1178"/>
    </row>
    <row r="53" spans="1:31" x14ac:dyDescent="0.3">
      <c r="A53" s="1096" t="s">
        <v>82</v>
      </c>
      <c r="B53" s="414">
        <v>18000</v>
      </c>
      <c r="C53" s="415">
        <v>13500</v>
      </c>
      <c r="D53" s="416">
        <f t="shared" si="28"/>
        <v>-4500</v>
      </c>
      <c r="E53" s="194">
        <f t="shared" si="40"/>
        <v>-0.25</v>
      </c>
      <c r="F53" s="230"/>
      <c r="G53" s="1065">
        <v>18000</v>
      </c>
      <c r="H53" s="1042">
        <v>19140</v>
      </c>
      <c r="I53" s="567">
        <f t="shared" si="29"/>
        <v>1140</v>
      </c>
      <c r="J53" s="195">
        <f t="shared" si="30"/>
        <v>6.3333333333333339E-2</v>
      </c>
      <c r="K53" s="1164"/>
      <c r="L53" s="414">
        <v>18000</v>
      </c>
      <c r="M53" s="415">
        <v>18000</v>
      </c>
      <c r="N53" s="415">
        <f t="shared" si="31"/>
        <v>0</v>
      </c>
      <c r="O53" s="196">
        <f t="shared" si="32"/>
        <v>0</v>
      </c>
      <c r="P53" s="230"/>
      <c r="Q53" s="426">
        <v>18000</v>
      </c>
      <c r="R53" s="427">
        <v>18000</v>
      </c>
      <c r="S53" s="415">
        <f t="shared" si="33"/>
        <v>0</v>
      </c>
      <c r="T53" s="197">
        <f t="shared" si="34"/>
        <v>0</v>
      </c>
      <c r="U53" s="785"/>
      <c r="V53" s="414">
        <f t="shared" si="41"/>
        <v>72000</v>
      </c>
      <c r="W53" s="415">
        <f t="shared" si="35"/>
        <v>68640</v>
      </c>
      <c r="X53" s="415">
        <f t="shared" si="36"/>
        <v>-3360</v>
      </c>
      <c r="Y53" s="773">
        <f t="shared" si="37"/>
        <v>-4.6666666666666669E-2</v>
      </c>
      <c r="Z53" s="953"/>
      <c r="AA53" s="567">
        <v>72000</v>
      </c>
      <c r="AB53" s="416">
        <f t="shared" si="38"/>
        <v>3360</v>
      </c>
      <c r="AC53" s="773">
        <f t="shared" si="39"/>
        <v>4.6666666666666669E-2</v>
      </c>
      <c r="AD53" s="1164"/>
      <c r="AE53" s="1179"/>
    </row>
    <row r="54" spans="1:31" x14ac:dyDescent="0.3">
      <c r="A54" s="1096" t="s">
        <v>125</v>
      </c>
      <c r="B54" s="414">
        <v>0</v>
      </c>
      <c r="C54" s="415">
        <v>0</v>
      </c>
      <c r="D54" s="416">
        <f t="shared" si="28"/>
        <v>0</v>
      </c>
      <c r="E54" s="194" t="str">
        <f t="shared" si="40"/>
        <v>-</v>
      </c>
      <c r="F54" s="230"/>
      <c r="G54" s="1065">
        <v>0</v>
      </c>
      <c r="H54" s="1042">
        <v>0</v>
      </c>
      <c r="I54" s="567">
        <f t="shared" si="29"/>
        <v>0</v>
      </c>
      <c r="J54" s="195" t="str">
        <f t="shared" si="30"/>
        <v>-</v>
      </c>
      <c r="K54" s="1164"/>
      <c r="L54" s="414">
        <v>0</v>
      </c>
      <c r="M54" s="415">
        <v>0</v>
      </c>
      <c r="N54" s="415">
        <f t="shared" si="31"/>
        <v>0</v>
      </c>
      <c r="O54" s="196"/>
      <c r="P54" s="230"/>
      <c r="Q54" s="426">
        <v>0</v>
      </c>
      <c r="R54" s="415">
        <v>0</v>
      </c>
      <c r="S54" s="415">
        <f t="shared" si="33"/>
        <v>0</v>
      </c>
      <c r="T54" s="197"/>
      <c r="U54" s="785"/>
      <c r="V54" s="414">
        <f t="shared" si="41"/>
        <v>0</v>
      </c>
      <c r="W54" s="415">
        <f t="shared" si="35"/>
        <v>0</v>
      </c>
      <c r="X54" s="415">
        <f t="shared" si="36"/>
        <v>0</v>
      </c>
      <c r="Y54" s="773"/>
      <c r="Z54" s="953"/>
      <c r="AA54" s="567">
        <v>0</v>
      </c>
      <c r="AB54" s="416">
        <f t="shared" si="38"/>
        <v>0</v>
      </c>
      <c r="AC54" s="773" t="str">
        <f t="shared" si="39"/>
        <v>-</v>
      </c>
      <c r="AD54" s="1164"/>
      <c r="AE54" s="1179"/>
    </row>
    <row r="55" spans="1:31" x14ac:dyDescent="0.3">
      <c r="A55" s="1096" t="s">
        <v>90</v>
      </c>
      <c r="B55" s="414">
        <v>0</v>
      </c>
      <c r="C55" s="415">
        <v>0</v>
      </c>
      <c r="D55" s="416">
        <f t="shared" si="28"/>
        <v>0</v>
      </c>
      <c r="E55" s="194" t="str">
        <f t="shared" si="40"/>
        <v>-</v>
      </c>
      <c r="F55" s="230"/>
      <c r="G55" s="1065">
        <v>0</v>
      </c>
      <c r="H55" s="1042">
        <v>0</v>
      </c>
      <c r="I55" s="567">
        <f t="shared" si="29"/>
        <v>0</v>
      </c>
      <c r="J55" s="195" t="str">
        <f t="shared" si="30"/>
        <v>-</v>
      </c>
      <c r="K55" s="1164"/>
      <c r="L55" s="414">
        <v>0</v>
      </c>
      <c r="M55" s="415">
        <v>0</v>
      </c>
      <c r="N55" s="415">
        <f t="shared" si="31"/>
        <v>0</v>
      </c>
      <c r="O55" s="196" t="str">
        <f t="shared" si="32"/>
        <v>-</v>
      </c>
      <c r="P55" s="230"/>
      <c r="Q55" s="426">
        <v>0</v>
      </c>
      <c r="R55" s="415">
        <v>0</v>
      </c>
      <c r="S55" s="415">
        <f t="shared" si="33"/>
        <v>0</v>
      </c>
      <c r="T55" s="197" t="str">
        <f t="shared" si="34"/>
        <v>-</v>
      </c>
      <c r="U55" s="785"/>
      <c r="V55" s="414">
        <f t="shared" si="41"/>
        <v>0</v>
      </c>
      <c r="W55" s="415">
        <f t="shared" si="35"/>
        <v>0</v>
      </c>
      <c r="X55" s="415">
        <f t="shared" si="36"/>
        <v>0</v>
      </c>
      <c r="Y55" s="773" t="str">
        <f t="shared" si="37"/>
        <v>-</v>
      </c>
      <c r="Z55" s="953"/>
      <c r="AA55" s="567">
        <v>0</v>
      </c>
      <c r="AB55" s="416">
        <f t="shared" si="38"/>
        <v>0</v>
      </c>
      <c r="AC55" s="773" t="str">
        <f t="shared" si="39"/>
        <v>-</v>
      </c>
      <c r="AD55" s="1164"/>
      <c r="AE55" s="1179"/>
    </row>
    <row r="56" spans="1:31" x14ac:dyDescent="0.3">
      <c r="A56" s="1096" t="s">
        <v>91</v>
      </c>
      <c r="B56" s="414">
        <v>28226</v>
      </c>
      <c r="C56" s="415">
        <v>53431.51</v>
      </c>
      <c r="D56" s="416">
        <f t="shared" si="28"/>
        <v>25205.510000000002</v>
      </c>
      <c r="E56" s="194">
        <f t="shared" si="40"/>
        <v>0.89298908807482469</v>
      </c>
      <c r="F56" s="230"/>
      <c r="G56" s="1065">
        <v>28226</v>
      </c>
      <c r="H56" s="1042">
        <v>27011.78</v>
      </c>
      <c r="I56" s="567">
        <f t="shared" si="29"/>
        <v>-1214.2200000000012</v>
      </c>
      <c r="J56" s="195">
        <f t="shared" si="30"/>
        <v>-4.3017785020902755E-2</v>
      </c>
      <c r="K56" s="1164"/>
      <c r="L56" s="414">
        <v>28226</v>
      </c>
      <c r="M56" s="415">
        <v>15087.33</v>
      </c>
      <c r="N56" s="415">
        <f t="shared" si="31"/>
        <v>-13138.67</v>
      </c>
      <c r="O56" s="196">
        <f t="shared" si="32"/>
        <v>-0.46548111670091408</v>
      </c>
      <c r="P56" s="230"/>
      <c r="Q56" s="426">
        <v>28226</v>
      </c>
      <c r="R56" s="427">
        <v>16214.3</v>
      </c>
      <c r="S56" s="415">
        <f t="shared" si="33"/>
        <v>-12011.7</v>
      </c>
      <c r="T56" s="197">
        <f t="shared" si="34"/>
        <v>-0.42555445334089143</v>
      </c>
      <c r="U56" s="785"/>
      <c r="V56" s="414">
        <f t="shared" si="41"/>
        <v>112904</v>
      </c>
      <c r="W56" s="415">
        <f t="shared" si="35"/>
        <v>111744.92000000001</v>
      </c>
      <c r="X56" s="415">
        <f t="shared" si="36"/>
        <v>-1159.0799999999872</v>
      </c>
      <c r="Y56" s="773">
        <f t="shared" si="37"/>
        <v>-1.0266066746970764E-2</v>
      </c>
      <c r="Z56" s="953"/>
      <c r="AA56" s="567">
        <v>112904</v>
      </c>
      <c r="AB56" s="416">
        <f t="shared" si="38"/>
        <v>1159.0799999999872</v>
      </c>
      <c r="AC56" s="773">
        <f t="shared" si="39"/>
        <v>1.0266066746970764E-2</v>
      </c>
      <c r="AD56" s="1164"/>
      <c r="AE56" s="1180"/>
    </row>
    <row r="57" spans="1:31" x14ac:dyDescent="0.3">
      <c r="A57" s="1096" t="s">
        <v>92</v>
      </c>
      <c r="B57" s="414">
        <v>4459.25</v>
      </c>
      <c r="C57" s="415">
        <v>0</v>
      </c>
      <c r="D57" s="416">
        <f t="shared" si="28"/>
        <v>-4459.25</v>
      </c>
      <c r="E57" s="194">
        <f t="shared" si="40"/>
        <v>-1</v>
      </c>
      <c r="F57" s="230"/>
      <c r="G57" s="1065">
        <v>4459.25</v>
      </c>
      <c r="H57" s="1042">
        <v>14557.26</v>
      </c>
      <c r="I57" s="567">
        <f t="shared" si="29"/>
        <v>10098.01</v>
      </c>
      <c r="J57" s="195">
        <f t="shared" si="30"/>
        <v>2.2645086057072379</v>
      </c>
      <c r="K57" s="1164"/>
      <c r="L57" s="414">
        <v>4459.25</v>
      </c>
      <c r="M57" s="415">
        <v>2939.96</v>
      </c>
      <c r="N57" s="415">
        <f t="shared" si="31"/>
        <v>-1519.29</v>
      </c>
      <c r="O57" s="196">
        <f t="shared" si="32"/>
        <v>-0.34070527555082131</v>
      </c>
      <c r="P57" s="230"/>
      <c r="Q57" s="426">
        <v>4459.25</v>
      </c>
      <c r="R57" s="415">
        <v>0</v>
      </c>
      <c r="S57" s="415">
        <f t="shared" si="33"/>
        <v>-4459.25</v>
      </c>
      <c r="T57" s="197">
        <f t="shared" si="34"/>
        <v>-1</v>
      </c>
      <c r="U57" s="785"/>
      <c r="V57" s="414">
        <f t="shared" si="41"/>
        <v>17837</v>
      </c>
      <c r="W57" s="415">
        <f t="shared" si="35"/>
        <v>17497.22</v>
      </c>
      <c r="X57" s="415">
        <f t="shared" si="36"/>
        <v>-339.77999999999884</v>
      </c>
      <c r="Y57" s="773">
        <f t="shared" si="37"/>
        <v>-1.9049167460895824E-2</v>
      </c>
      <c r="Z57" s="953"/>
      <c r="AA57" s="567">
        <v>25000</v>
      </c>
      <c r="AB57" s="416">
        <f t="shared" si="38"/>
        <v>7502.7799999999988</v>
      </c>
      <c r="AC57" s="773">
        <f t="shared" si="39"/>
        <v>0.30011119999999997</v>
      </c>
      <c r="AD57" s="1164"/>
      <c r="AE57" s="1665"/>
    </row>
    <row r="58" spans="1:31" x14ac:dyDescent="0.3">
      <c r="A58" s="1096" t="s">
        <v>93</v>
      </c>
      <c r="B58" s="414">
        <v>125941</v>
      </c>
      <c r="C58" s="415">
        <v>134126.78</v>
      </c>
      <c r="D58" s="416">
        <f t="shared" si="28"/>
        <v>8185.7799999999988</v>
      </c>
      <c r="E58" s="194">
        <f t="shared" si="40"/>
        <v>6.4996943012998146E-2</v>
      </c>
      <c r="F58" s="230"/>
      <c r="G58" s="1065">
        <v>125941</v>
      </c>
      <c r="H58" s="1042">
        <v>181585.96</v>
      </c>
      <c r="I58" s="567">
        <f t="shared" si="29"/>
        <v>55644.959999999992</v>
      </c>
      <c r="J58" s="195">
        <f t="shared" si="30"/>
        <v>0.44183355698303167</v>
      </c>
      <c r="K58" s="1164"/>
      <c r="L58" s="414">
        <v>125941</v>
      </c>
      <c r="M58" s="415">
        <v>183152.44</v>
      </c>
      <c r="N58" s="415">
        <f t="shared" si="31"/>
        <v>57211.44</v>
      </c>
      <c r="O58" s="196">
        <f t="shared" si="32"/>
        <v>0.4542717621743515</v>
      </c>
      <c r="P58" s="230"/>
      <c r="Q58" s="426">
        <v>125941</v>
      </c>
      <c r="R58" s="427">
        <v>189260.52</v>
      </c>
      <c r="S58" s="415">
        <f t="shared" si="33"/>
        <v>63319.51999999999</v>
      </c>
      <c r="T58" s="197">
        <f t="shared" si="34"/>
        <v>0.5027712976711316</v>
      </c>
      <c r="U58" s="785"/>
      <c r="V58" s="414">
        <f t="shared" si="41"/>
        <v>503764</v>
      </c>
      <c r="W58" s="415">
        <f t="shared" si="35"/>
        <v>688125.7</v>
      </c>
      <c r="X58" s="415">
        <f t="shared" si="36"/>
        <v>184361.69999999995</v>
      </c>
      <c r="Y58" s="773">
        <f t="shared" si="37"/>
        <v>0.36596838996037817</v>
      </c>
      <c r="Z58" s="953"/>
      <c r="AA58" s="567">
        <v>503764</v>
      </c>
      <c r="AB58" s="416">
        <f t="shared" si="38"/>
        <v>-184361.69999999995</v>
      </c>
      <c r="AC58" s="773">
        <f t="shared" si="39"/>
        <v>-0.36596838996037817</v>
      </c>
      <c r="AD58" s="1164"/>
      <c r="AE58" s="1666"/>
    </row>
    <row r="59" spans="1:31" x14ac:dyDescent="0.3">
      <c r="A59" s="1096" t="s">
        <v>94</v>
      </c>
      <c r="B59" s="414">
        <v>0</v>
      </c>
      <c r="C59" s="415">
        <v>0</v>
      </c>
      <c r="D59" s="416">
        <f t="shared" si="28"/>
        <v>0</v>
      </c>
      <c r="E59" s="194" t="str">
        <f t="shared" si="40"/>
        <v>-</v>
      </c>
      <c r="F59" s="230"/>
      <c r="G59" s="1065">
        <v>0</v>
      </c>
      <c r="H59" s="1042">
        <v>0</v>
      </c>
      <c r="I59" s="567">
        <f t="shared" si="29"/>
        <v>0</v>
      </c>
      <c r="J59" s="195" t="str">
        <f t="shared" si="30"/>
        <v>-</v>
      </c>
      <c r="K59" s="1164"/>
      <c r="L59" s="414">
        <v>0</v>
      </c>
      <c r="M59" s="415">
        <v>0</v>
      </c>
      <c r="N59" s="415">
        <f t="shared" si="31"/>
        <v>0</v>
      </c>
      <c r="O59" s="196" t="str">
        <f t="shared" si="32"/>
        <v>-</v>
      </c>
      <c r="P59" s="230"/>
      <c r="Q59" s="426">
        <v>0</v>
      </c>
      <c r="R59" s="415">
        <v>0</v>
      </c>
      <c r="S59" s="415">
        <f t="shared" si="33"/>
        <v>0</v>
      </c>
      <c r="T59" s="197" t="str">
        <f t="shared" si="34"/>
        <v>-</v>
      </c>
      <c r="U59" s="785"/>
      <c r="V59" s="414">
        <f t="shared" si="41"/>
        <v>0</v>
      </c>
      <c r="W59" s="415">
        <f t="shared" si="35"/>
        <v>0</v>
      </c>
      <c r="X59" s="415">
        <f t="shared" si="36"/>
        <v>0</v>
      </c>
      <c r="Y59" s="773" t="str">
        <f t="shared" si="37"/>
        <v>-</v>
      </c>
      <c r="Z59" s="953"/>
      <c r="AA59" s="567">
        <v>0</v>
      </c>
      <c r="AB59" s="416">
        <f t="shared" si="38"/>
        <v>0</v>
      </c>
      <c r="AC59" s="773" t="str">
        <f t="shared" si="39"/>
        <v>-</v>
      </c>
      <c r="AD59" s="1164"/>
      <c r="AE59" s="1354"/>
    </row>
    <row r="60" spans="1:31" x14ac:dyDescent="0.3">
      <c r="A60" s="1096" t="s">
        <v>95</v>
      </c>
      <c r="B60" s="414">
        <v>7750</v>
      </c>
      <c r="C60" s="415">
        <v>12537.909999999998</v>
      </c>
      <c r="D60" s="416">
        <f t="shared" si="28"/>
        <v>4787.909999999998</v>
      </c>
      <c r="E60" s="194">
        <f t="shared" si="40"/>
        <v>0.61779483870967722</v>
      </c>
      <c r="F60" s="171"/>
      <c r="G60" s="1065">
        <v>7750</v>
      </c>
      <c r="H60" s="1042">
        <v>29162.100000000002</v>
      </c>
      <c r="I60" s="567">
        <f t="shared" si="29"/>
        <v>21412.100000000002</v>
      </c>
      <c r="J60" s="195">
        <f t="shared" si="30"/>
        <v>2.7628516129032259</v>
      </c>
      <c r="K60" s="1163"/>
      <c r="L60" s="414">
        <v>7750</v>
      </c>
      <c r="M60" s="415">
        <v>7523.45</v>
      </c>
      <c r="N60" s="415">
        <f t="shared" si="31"/>
        <v>-226.55000000000018</v>
      </c>
      <c r="O60" s="196">
        <f t="shared" si="32"/>
        <v>-2.9232258064516153E-2</v>
      </c>
      <c r="P60" s="171"/>
      <c r="Q60" s="426">
        <v>7750</v>
      </c>
      <c r="R60" s="427">
        <v>15951.19</v>
      </c>
      <c r="S60" s="415">
        <f t="shared" si="33"/>
        <v>8201.19</v>
      </c>
      <c r="T60" s="197">
        <f t="shared" si="34"/>
        <v>1.0582180645161292</v>
      </c>
      <c r="U60" s="783"/>
      <c r="V60" s="414">
        <f t="shared" si="41"/>
        <v>31000</v>
      </c>
      <c r="W60" s="415">
        <f t="shared" si="35"/>
        <v>65174.65</v>
      </c>
      <c r="X60" s="415">
        <f t="shared" si="36"/>
        <v>34174.65</v>
      </c>
      <c r="Y60" s="773">
        <f t="shared" si="37"/>
        <v>1.1024080645161292</v>
      </c>
      <c r="Z60" s="951"/>
      <c r="AA60" s="567">
        <v>31000</v>
      </c>
      <c r="AB60" s="416">
        <f t="shared" si="38"/>
        <v>-34174.65</v>
      </c>
      <c r="AC60" s="773">
        <f t="shared" si="39"/>
        <v>-1.1024080645161292</v>
      </c>
      <c r="AD60" s="1163"/>
      <c r="AE60" s="1666"/>
    </row>
    <row r="61" spans="1:31" x14ac:dyDescent="0.3">
      <c r="A61" s="1096" t="s">
        <v>96</v>
      </c>
      <c r="B61" s="414">
        <v>3750</v>
      </c>
      <c r="C61" s="415">
        <v>6784.65</v>
      </c>
      <c r="D61" s="416">
        <f>C61-B61</f>
        <v>3034.6499999999996</v>
      </c>
      <c r="E61" s="194">
        <f t="shared" si="40"/>
        <v>0.80923999999999985</v>
      </c>
      <c r="F61" s="171"/>
      <c r="G61" s="1065">
        <v>3750</v>
      </c>
      <c r="H61" s="1042">
        <v>6851.01</v>
      </c>
      <c r="I61" s="567">
        <f t="shared" si="29"/>
        <v>3101.01</v>
      </c>
      <c r="J61" s="195">
        <f t="shared" si="30"/>
        <v>0.826936</v>
      </c>
      <c r="K61" s="1163"/>
      <c r="L61" s="414">
        <v>3750</v>
      </c>
      <c r="M61" s="415">
        <v>2814.57</v>
      </c>
      <c r="N61" s="415">
        <f t="shared" si="31"/>
        <v>-935.42999999999984</v>
      </c>
      <c r="O61" s="196">
        <f t="shared" si="32"/>
        <v>-0.24944799999999995</v>
      </c>
      <c r="P61" s="171"/>
      <c r="Q61" s="426">
        <v>3750</v>
      </c>
      <c r="R61" s="427">
        <v>6217.84</v>
      </c>
      <c r="S61" s="415">
        <f t="shared" si="33"/>
        <v>2467.84</v>
      </c>
      <c r="T61" s="197">
        <f t="shared" si="34"/>
        <v>0.65809066666666671</v>
      </c>
      <c r="U61" s="783"/>
      <c r="V61" s="414">
        <f t="shared" si="41"/>
        <v>15000</v>
      </c>
      <c r="W61" s="415">
        <f t="shared" si="35"/>
        <v>22668.07</v>
      </c>
      <c r="X61" s="415">
        <f t="shared" si="36"/>
        <v>7668.07</v>
      </c>
      <c r="Y61" s="773">
        <f t="shared" si="37"/>
        <v>0.51120466666666664</v>
      </c>
      <c r="Z61" s="951"/>
      <c r="AA61" s="567">
        <v>15000</v>
      </c>
      <c r="AB61" s="416">
        <f t="shared" si="38"/>
        <v>-7668.07</v>
      </c>
      <c r="AC61" s="773">
        <f t="shared" si="39"/>
        <v>-0.51120466666666664</v>
      </c>
      <c r="AD61" s="1163"/>
      <c r="AE61" s="1179"/>
    </row>
    <row r="62" spans="1:31" x14ac:dyDescent="0.3">
      <c r="A62" s="1096" t="s">
        <v>110</v>
      </c>
      <c r="B62" s="414">
        <v>327714.75</v>
      </c>
      <c r="C62" s="415">
        <v>359292.09</v>
      </c>
      <c r="D62" s="416">
        <f t="shared" si="28"/>
        <v>31577.340000000026</v>
      </c>
      <c r="E62" s="194">
        <f t="shared" si="40"/>
        <v>9.635617560698756E-2</v>
      </c>
      <c r="F62" s="171"/>
      <c r="G62" s="1065">
        <v>327714.75</v>
      </c>
      <c r="H62" s="1042">
        <v>296269.83</v>
      </c>
      <c r="I62" s="567">
        <f t="shared" si="29"/>
        <v>-31444.919999999984</v>
      </c>
      <c r="J62" s="195">
        <f t="shared" si="30"/>
        <v>-9.5952104688604906E-2</v>
      </c>
      <c r="K62" s="1163"/>
      <c r="L62" s="414">
        <v>327714.75</v>
      </c>
      <c r="M62" s="415">
        <v>264293.96999999997</v>
      </c>
      <c r="N62" s="415">
        <f t="shared" si="31"/>
        <v>-63420.780000000028</v>
      </c>
      <c r="O62" s="196">
        <f t="shared" si="32"/>
        <v>-0.19352433785784751</v>
      </c>
      <c r="P62" s="171"/>
      <c r="Q62" s="426">
        <v>327714.75</v>
      </c>
      <c r="R62" s="427">
        <v>359251</v>
      </c>
      <c r="S62" s="415">
        <f t="shared" si="33"/>
        <v>31536.25</v>
      </c>
      <c r="T62" s="197">
        <f t="shared" si="34"/>
        <v>9.6230792175207247E-2</v>
      </c>
      <c r="U62" s="783"/>
      <c r="V62" s="414">
        <f t="shared" si="41"/>
        <v>1310859</v>
      </c>
      <c r="W62" s="415">
        <f t="shared" si="35"/>
        <v>1279106.8900000001</v>
      </c>
      <c r="X62" s="415">
        <f t="shared" si="36"/>
        <v>-31752.10999999987</v>
      </c>
      <c r="Y62" s="773">
        <f t="shared" si="37"/>
        <v>-2.4222368691064311E-2</v>
      </c>
      <c r="Z62" s="951"/>
      <c r="AA62" s="567">
        <v>1310859</v>
      </c>
      <c r="AB62" s="416">
        <f t="shared" si="38"/>
        <v>31752.10999999987</v>
      </c>
      <c r="AC62" s="773">
        <f t="shared" si="39"/>
        <v>2.4222368691064311E-2</v>
      </c>
      <c r="AD62" s="1163"/>
      <c r="AE62" s="955"/>
    </row>
    <row r="63" spans="1:31" x14ac:dyDescent="0.3">
      <c r="A63" s="1096" t="s">
        <v>124</v>
      </c>
      <c r="B63" s="414">
        <v>0</v>
      </c>
      <c r="C63" s="415">
        <v>0</v>
      </c>
      <c r="D63" s="416">
        <f t="shared" si="28"/>
        <v>0</v>
      </c>
      <c r="E63" s="194" t="str">
        <f t="shared" si="40"/>
        <v>-</v>
      </c>
      <c r="F63" s="171"/>
      <c r="G63" s="1065">
        <v>0</v>
      </c>
      <c r="H63" s="1042">
        <v>0</v>
      </c>
      <c r="I63" s="567">
        <f t="shared" si="29"/>
        <v>0</v>
      </c>
      <c r="J63" s="195" t="str">
        <f t="shared" si="30"/>
        <v>-</v>
      </c>
      <c r="K63" s="1163"/>
      <c r="L63" s="414">
        <v>0</v>
      </c>
      <c r="M63" s="415">
        <v>0</v>
      </c>
      <c r="N63" s="415">
        <f t="shared" si="31"/>
        <v>0</v>
      </c>
      <c r="O63" s="196" t="str">
        <f t="shared" si="32"/>
        <v>-</v>
      </c>
      <c r="P63" s="171"/>
      <c r="Q63" s="426">
        <v>0</v>
      </c>
      <c r="R63" s="415">
        <v>0</v>
      </c>
      <c r="S63" s="415">
        <f t="shared" si="33"/>
        <v>0</v>
      </c>
      <c r="T63" s="197" t="str">
        <f t="shared" si="34"/>
        <v>-</v>
      </c>
      <c r="U63" s="783"/>
      <c r="V63" s="414">
        <f t="shared" si="41"/>
        <v>0</v>
      </c>
      <c r="W63" s="415">
        <f t="shared" si="35"/>
        <v>0</v>
      </c>
      <c r="X63" s="415">
        <f t="shared" si="36"/>
        <v>0</v>
      </c>
      <c r="Y63" s="773" t="str">
        <f t="shared" si="37"/>
        <v>-</v>
      </c>
      <c r="Z63" s="951"/>
      <c r="AA63" s="567">
        <v>0</v>
      </c>
      <c r="AB63" s="416">
        <f t="shared" si="38"/>
        <v>0</v>
      </c>
      <c r="AC63" s="773" t="str">
        <f t="shared" si="39"/>
        <v>-</v>
      </c>
      <c r="AD63" s="1163"/>
      <c r="AE63" s="1179"/>
    </row>
    <row r="64" spans="1:31" x14ac:dyDescent="0.3">
      <c r="A64" s="1096" t="s">
        <v>123</v>
      </c>
      <c r="B64" s="414">
        <v>0</v>
      </c>
      <c r="C64" s="415">
        <v>0</v>
      </c>
      <c r="D64" s="416">
        <f t="shared" si="28"/>
        <v>0</v>
      </c>
      <c r="E64" s="194" t="str">
        <f t="shared" si="40"/>
        <v>-</v>
      </c>
      <c r="F64" s="230"/>
      <c r="G64" s="1065">
        <v>0</v>
      </c>
      <c r="H64" s="1042">
        <v>0</v>
      </c>
      <c r="I64" s="567">
        <f t="shared" si="29"/>
        <v>0</v>
      </c>
      <c r="J64" s="195" t="str">
        <f t="shared" si="30"/>
        <v>-</v>
      </c>
      <c r="K64" s="1164"/>
      <c r="L64" s="414">
        <v>0</v>
      </c>
      <c r="M64" s="415">
        <v>0</v>
      </c>
      <c r="N64" s="415">
        <f t="shared" si="31"/>
        <v>0</v>
      </c>
      <c r="O64" s="196" t="str">
        <f t="shared" si="32"/>
        <v>-</v>
      </c>
      <c r="P64" s="230"/>
      <c r="Q64" s="426">
        <v>0</v>
      </c>
      <c r="R64" s="415">
        <v>0</v>
      </c>
      <c r="S64" s="415">
        <f t="shared" si="33"/>
        <v>0</v>
      </c>
      <c r="T64" s="197" t="str">
        <f t="shared" si="34"/>
        <v>-</v>
      </c>
      <c r="U64" s="785"/>
      <c r="V64" s="414">
        <f t="shared" si="41"/>
        <v>0</v>
      </c>
      <c r="W64" s="415">
        <f t="shared" si="35"/>
        <v>0</v>
      </c>
      <c r="X64" s="415">
        <f t="shared" si="36"/>
        <v>0</v>
      </c>
      <c r="Y64" s="773" t="str">
        <f t="shared" si="37"/>
        <v>-</v>
      </c>
      <c r="Z64" s="953"/>
      <c r="AA64" s="567">
        <v>0</v>
      </c>
      <c r="AB64" s="416">
        <f t="shared" si="38"/>
        <v>0</v>
      </c>
      <c r="AC64" s="773" t="str">
        <f t="shared" si="39"/>
        <v>-</v>
      </c>
      <c r="AD64" s="1164"/>
      <c r="AE64" s="1179"/>
    </row>
    <row r="65" spans="1:31" x14ac:dyDescent="0.3">
      <c r="A65" s="1096" t="s">
        <v>122</v>
      </c>
      <c r="B65" s="414">
        <v>31840</v>
      </c>
      <c r="C65" s="415">
        <v>30839.040000000001</v>
      </c>
      <c r="D65" s="416">
        <f t="shared" si="28"/>
        <v>-1000.9599999999991</v>
      </c>
      <c r="E65" s="194">
        <f t="shared" si="40"/>
        <v>-3.1437185929648212E-2</v>
      </c>
      <c r="F65" s="230"/>
      <c r="G65" s="1065">
        <v>31840</v>
      </c>
      <c r="H65" s="1042">
        <v>30839.040000000001</v>
      </c>
      <c r="I65" s="567">
        <f t="shared" si="29"/>
        <v>-1000.9599999999991</v>
      </c>
      <c r="J65" s="195">
        <f t="shared" si="30"/>
        <v>-3.1437185929648212E-2</v>
      </c>
      <c r="K65" s="1164"/>
      <c r="L65" s="414">
        <v>31840</v>
      </c>
      <c r="M65" s="415">
        <v>30839.040000000001</v>
      </c>
      <c r="N65" s="415">
        <f t="shared" si="31"/>
        <v>-1000.9599999999991</v>
      </c>
      <c r="O65" s="196">
        <f t="shared" si="32"/>
        <v>-3.1437185929648212E-2</v>
      </c>
      <c r="P65" s="230"/>
      <c r="Q65" s="426">
        <v>31840</v>
      </c>
      <c r="R65" s="427">
        <v>34484.239999999998</v>
      </c>
      <c r="S65" s="415">
        <f t="shared" si="33"/>
        <v>2644.239999999998</v>
      </c>
      <c r="T65" s="197">
        <f t="shared" si="34"/>
        <v>8.304773869346728E-2</v>
      </c>
      <c r="U65" s="785"/>
      <c r="V65" s="414">
        <f t="shared" si="41"/>
        <v>127360</v>
      </c>
      <c r="W65" s="415">
        <f t="shared" si="35"/>
        <v>127001.35999999999</v>
      </c>
      <c r="X65" s="415">
        <f t="shared" si="36"/>
        <v>-358.64000000001397</v>
      </c>
      <c r="Y65" s="773">
        <f t="shared" si="37"/>
        <v>-2.8159547738694562E-3</v>
      </c>
      <c r="Z65" s="953"/>
      <c r="AA65" s="567">
        <v>127360</v>
      </c>
      <c r="AB65" s="416">
        <f t="shared" si="38"/>
        <v>358.64000000001397</v>
      </c>
      <c r="AC65" s="773">
        <f t="shared" si="39"/>
        <v>2.8159547738694562E-3</v>
      </c>
      <c r="AD65" s="1164"/>
      <c r="AE65" s="1178"/>
    </row>
    <row r="66" spans="1:31" x14ac:dyDescent="0.3">
      <c r="A66" s="1096" t="s">
        <v>114</v>
      </c>
      <c r="B66" s="414">
        <v>250</v>
      </c>
      <c r="C66" s="415">
        <v>0</v>
      </c>
      <c r="D66" s="416">
        <f t="shared" si="28"/>
        <v>-250</v>
      </c>
      <c r="E66" s="194">
        <f t="shared" si="40"/>
        <v>-1</v>
      </c>
      <c r="F66" s="230"/>
      <c r="G66" s="1065">
        <v>250</v>
      </c>
      <c r="H66" s="1042">
        <v>0</v>
      </c>
      <c r="I66" s="567">
        <f t="shared" si="29"/>
        <v>-250</v>
      </c>
      <c r="J66" s="195">
        <f t="shared" si="30"/>
        <v>-1</v>
      </c>
      <c r="K66" s="1164"/>
      <c r="L66" s="414">
        <v>250</v>
      </c>
      <c r="M66" s="415">
        <v>0</v>
      </c>
      <c r="N66" s="415">
        <f t="shared" si="31"/>
        <v>-250</v>
      </c>
      <c r="O66" s="196">
        <f t="shared" si="32"/>
        <v>-1</v>
      </c>
      <c r="P66" s="230"/>
      <c r="Q66" s="426">
        <v>250</v>
      </c>
      <c r="R66" s="415">
        <v>0</v>
      </c>
      <c r="S66" s="415">
        <f t="shared" si="33"/>
        <v>-250</v>
      </c>
      <c r="T66" s="197">
        <f t="shared" si="34"/>
        <v>-1</v>
      </c>
      <c r="U66" s="785"/>
      <c r="V66" s="414">
        <f t="shared" si="41"/>
        <v>1000</v>
      </c>
      <c r="W66" s="415">
        <f t="shared" si="35"/>
        <v>0</v>
      </c>
      <c r="X66" s="415">
        <f t="shared" si="36"/>
        <v>-1000</v>
      </c>
      <c r="Y66" s="773">
        <f t="shared" si="37"/>
        <v>-1</v>
      </c>
      <c r="Z66" s="953"/>
      <c r="AA66" s="567">
        <v>1000</v>
      </c>
      <c r="AB66" s="416">
        <f t="shared" si="38"/>
        <v>1000</v>
      </c>
      <c r="AC66" s="773">
        <f t="shared" si="39"/>
        <v>1</v>
      </c>
      <c r="AD66" s="1164"/>
      <c r="AE66" s="1179"/>
    </row>
    <row r="67" spans="1:31" x14ac:dyDescent="0.3">
      <c r="A67" s="1096" t="s">
        <v>115</v>
      </c>
      <c r="B67" s="414">
        <v>25764</v>
      </c>
      <c r="C67" s="415">
        <v>29154</v>
      </c>
      <c r="D67" s="416">
        <f>C67-B67</f>
        <v>3390</v>
      </c>
      <c r="E67" s="194">
        <f t="shared" si="40"/>
        <v>0.13157894736842105</v>
      </c>
      <c r="F67" s="171"/>
      <c r="G67" s="1065">
        <v>25764</v>
      </c>
      <c r="H67" s="1042">
        <v>29154</v>
      </c>
      <c r="I67" s="567">
        <f t="shared" si="29"/>
        <v>3390</v>
      </c>
      <c r="J67" s="195">
        <f t="shared" si="30"/>
        <v>0.13157894736842105</v>
      </c>
      <c r="K67" s="1163"/>
      <c r="L67" s="414">
        <v>25764</v>
      </c>
      <c r="M67" s="415">
        <v>29154</v>
      </c>
      <c r="N67" s="415">
        <f t="shared" si="31"/>
        <v>3390</v>
      </c>
      <c r="O67" s="196">
        <f t="shared" si="32"/>
        <v>0.13157894736842105</v>
      </c>
      <c r="P67" s="171"/>
      <c r="Q67" s="426">
        <v>25764</v>
      </c>
      <c r="R67" s="427">
        <v>28992.46</v>
      </c>
      <c r="S67" s="415">
        <f t="shared" si="33"/>
        <v>3228.4599999999991</v>
      </c>
      <c r="T67" s="197">
        <f t="shared" si="34"/>
        <v>0.12530895823629867</v>
      </c>
      <c r="U67" s="783"/>
      <c r="V67" s="414">
        <f t="shared" si="41"/>
        <v>103056</v>
      </c>
      <c r="W67" s="415">
        <f t="shared" si="35"/>
        <v>116454.45999999999</v>
      </c>
      <c r="X67" s="415">
        <f t="shared" si="36"/>
        <v>13398.459999999992</v>
      </c>
      <c r="Y67" s="773">
        <f t="shared" si="37"/>
        <v>0.13001145008539039</v>
      </c>
      <c r="Z67" s="951"/>
      <c r="AA67" s="567">
        <v>103056</v>
      </c>
      <c r="AB67" s="416">
        <f t="shared" si="38"/>
        <v>-13398.459999999992</v>
      </c>
      <c r="AC67" s="773">
        <f t="shared" si="39"/>
        <v>-0.13001145008539039</v>
      </c>
      <c r="AD67" s="1163"/>
      <c r="AE67" s="1178"/>
    </row>
    <row r="68" spans="1:31" x14ac:dyDescent="0.3">
      <c r="A68" s="1096" t="s">
        <v>121</v>
      </c>
      <c r="B68" s="414">
        <v>0</v>
      </c>
      <c r="C68" s="415">
        <v>0</v>
      </c>
      <c r="D68" s="416">
        <f t="shared" si="28"/>
        <v>0</v>
      </c>
      <c r="E68" s="194" t="str">
        <f t="shared" si="40"/>
        <v>-</v>
      </c>
      <c r="F68" s="230"/>
      <c r="G68" s="1065">
        <v>0</v>
      </c>
      <c r="H68" s="1042">
        <v>0</v>
      </c>
      <c r="I68" s="567">
        <f t="shared" si="29"/>
        <v>0</v>
      </c>
      <c r="J68" s="195" t="str">
        <f t="shared" si="30"/>
        <v>-</v>
      </c>
      <c r="K68" s="1164"/>
      <c r="L68" s="414">
        <v>0</v>
      </c>
      <c r="M68" s="415">
        <v>0</v>
      </c>
      <c r="N68" s="415">
        <f t="shared" si="31"/>
        <v>0</v>
      </c>
      <c r="O68" s="196" t="str">
        <f t="shared" si="32"/>
        <v>-</v>
      </c>
      <c r="P68" s="230"/>
      <c r="Q68" s="426">
        <v>0</v>
      </c>
      <c r="R68" s="415">
        <v>0</v>
      </c>
      <c r="S68" s="415">
        <f t="shared" si="33"/>
        <v>0</v>
      </c>
      <c r="T68" s="197" t="str">
        <f t="shared" si="34"/>
        <v>-</v>
      </c>
      <c r="U68" s="785"/>
      <c r="V68" s="414">
        <f t="shared" si="41"/>
        <v>0</v>
      </c>
      <c r="W68" s="415">
        <f t="shared" si="35"/>
        <v>0</v>
      </c>
      <c r="X68" s="415">
        <f t="shared" si="36"/>
        <v>0</v>
      </c>
      <c r="Y68" s="773" t="str">
        <f t="shared" si="37"/>
        <v>-</v>
      </c>
      <c r="Z68" s="953"/>
      <c r="AA68" s="567">
        <v>0</v>
      </c>
      <c r="AB68" s="416">
        <f t="shared" si="38"/>
        <v>0</v>
      </c>
      <c r="AC68" s="773" t="str">
        <f t="shared" si="39"/>
        <v>-</v>
      </c>
      <c r="AD68" s="1164"/>
      <c r="AE68" s="1178"/>
    </row>
    <row r="69" spans="1:31" x14ac:dyDescent="0.3">
      <c r="A69" s="1096" t="s">
        <v>97</v>
      </c>
      <c r="B69" s="414">
        <v>12500</v>
      </c>
      <c r="C69" s="415">
        <v>30914.3</v>
      </c>
      <c r="D69" s="416">
        <f t="shared" si="28"/>
        <v>18414.3</v>
      </c>
      <c r="E69" s="194">
        <f t="shared" si="40"/>
        <v>1.473144</v>
      </c>
      <c r="F69" s="230"/>
      <c r="G69" s="1065">
        <v>12500</v>
      </c>
      <c r="H69" s="1042">
        <v>5645.22</v>
      </c>
      <c r="I69" s="567">
        <f t="shared" si="29"/>
        <v>-6854.78</v>
      </c>
      <c r="J69" s="195">
        <f t="shared" si="30"/>
        <v>-0.54838239999999994</v>
      </c>
      <c r="K69" s="1164"/>
      <c r="L69" s="414">
        <v>12500</v>
      </c>
      <c r="M69" s="415">
        <v>103495.7</v>
      </c>
      <c r="N69" s="415">
        <f t="shared" si="31"/>
        <v>90995.7</v>
      </c>
      <c r="O69" s="196">
        <f t="shared" si="32"/>
        <v>7.2796560000000001</v>
      </c>
      <c r="P69" s="230"/>
      <c r="Q69" s="426">
        <v>12500</v>
      </c>
      <c r="R69" s="427">
        <v>4838.76</v>
      </c>
      <c r="S69" s="415">
        <f t="shared" si="33"/>
        <v>-7661.24</v>
      </c>
      <c r="T69" s="197">
        <f t="shared" si="34"/>
        <v>-0.61289919999999998</v>
      </c>
      <c r="U69" s="785"/>
      <c r="V69" s="414">
        <f t="shared" si="41"/>
        <v>50000</v>
      </c>
      <c r="W69" s="415">
        <f t="shared" si="35"/>
        <v>144893.98000000001</v>
      </c>
      <c r="X69" s="415">
        <f t="shared" si="36"/>
        <v>94893.98000000001</v>
      </c>
      <c r="Y69" s="773">
        <f t="shared" si="37"/>
        <v>1.8978796000000002</v>
      </c>
      <c r="Z69" s="953"/>
      <c r="AA69" s="567">
        <v>50000</v>
      </c>
      <c r="AB69" s="416">
        <f t="shared" si="38"/>
        <v>-94893.98000000001</v>
      </c>
      <c r="AC69" s="773">
        <f t="shared" si="39"/>
        <v>-1.8978796000000002</v>
      </c>
      <c r="AD69" s="1164"/>
      <c r="AE69" s="1179"/>
    </row>
    <row r="70" spans="1:31" x14ac:dyDescent="0.3">
      <c r="A70" s="1096" t="s">
        <v>98</v>
      </c>
      <c r="B70" s="414">
        <v>6720.5</v>
      </c>
      <c r="C70" s="415">
        <v>4607.13</v>
      </c>
      <c r="D70" s="416">
        <f t="shared" si="28"/>
        <v>-2113.37</v>
      </c>
      <c r="E70" s="194">
        <f t="shared" si="40"/>
        <v>-0.31446618555167022</v>
      </c>
      <c r="F70" s="171"/>
      <c r="G70" s="1065">
        <v>6720.5</v>
      </c>
      <c r="H70" s="1042">
        <v>4439.41</v>
      </c>
      <c r="I70" s="567">
        <f t="shared" si="29"/>
        <v>-2281.09</v>
      </c>
      <c r="J70" s="195">
        <f t="shared" si="30"/>
        <v>-0.3394226620043152</v>
      </c>
      <c r="K70" s="1163"/>
      <c r="L70" s="414">
        <v>6720.5</v>
      </c>
      <c r="M70" s="415">
        <v>5610.11</v>
      </c>
      <c r="N70" s="415">
        <f t="shared" si="31"/>
        <v>-1110.3900000000003</v>
      </c>
      <c r="O70" s="196">
        <f t="shared" si="32"/>
        <v>-0.16522431366713791</v>
      </c>
      <c r="P70" s="171"/>
      <c r="Q70" s="426">
        <v>6720.5</v>
      </c>
      <c r="R70" s="427">
        <v>3095.07</v>
      </c>
      <c r="S70" s="415">
        <f t="shared" si="33"/>
        <v>-3625.43</v>
      </c>
      <c r="T70" s="197">
        <f t="shared" si="34"/>
        <v>-0.53945837363291416</v>
      </c>
      <c r="U70" s="783"/>
      <c r="V70" s="414">
        <f t="shared" si="41"/>
        <v>26882</v>
      </c>
      <c r="W70" s="415">
        <f t="shared" si="35"/>
        <v>17751.72</v>
      </c>
      <c r="X70" s="415">
        <f t="shared" si="36"/>
        <v>-9130.2799999999988</v>
      </c>
      <c r="Y70" s="773">
        <f t="shared" si="37"/>
        <v>-0.33964288371400936</v>
      </c>
      <c r="Z70" s="951"/>
      <c r="AA70" s="567">
        <v>26882</v>
      </c>
      <c r="AB70" s="416">
        <f t="shared" si="38"/>
        <v>9130.2799999999988</v>
      </c>
      <c r="AC70" s="773">
        <f t="shared" si="39"/>
        <v>0.33964288371400936</v>
      </c>
      <c r="AD70" s="1163"/>
      <c r="AE70" s="1179"/>
    </row>
    <row r="71" spans="1:31" x14ac:dyDescent="0.3">
      <c r="A71" s="1096" t="s">
        <v>116</v>
      </c>
      <c r="B71" s="414">
        <v>8725</v>
      </c>
      <c r="C71" s="415">
        <v>7032.3300000000017</v>
      </c>
      <c r="D71" s="416">
        <f t="shared" si="28"/>
        <v>-1692.6699999999983</v>
      </c>
      <c r="E71" s="194">
        <f t="shared" si="40"/>
        <v>-0.19400229226361013</v>
      </c>
      <c r="F71" s="230"/>
      <c r="G71" s="1065">
        <v>8725</v>
      </c>
      <c r="H71" s="1042">
        <v>6316.06</v>
      </c>
      <c r="I71" s="567">
        <f t="shared" si="29"/>
        <v>-2408.9399999999996</v>
      </c>
      <c r="J71" s="195">
        <f t="shared" si="30"/>
        <v>-0.2760962750716332</v>
      </c>
      <c r="K71" s="1164"/>
      <c r="L71" s="414">
        <v>8725</v>
      </c>
      <c r="M71" s="415">
        <v>5605.42</v>
      </c>
      <c r="N71" s="415">
        <f t="shared" si="31"/>
        <v>-3119.58</v>
      </c>
      <c r="O71" s="196">
        <f t="shared" si="32"/>
        <v>-0.35754498567335241</v>
      </c>
      <c r="P71" s="230"/>
      <c r="Q71" s="426">
        <v>8725</v>
      </c>
      <c r="R71" s="427">
        <v>19133.63</v>
      </c>
      <c r="S71" s="415">
        <f t="shared" si="33"/>
        <v>10408.630000000001</v>
      </c>
      <c r="T71" s="197">
        <f t="shared" si="34"/>
        <v>1.192966189111748</v>
      </c>
      <c r="U71" s="785"/>
      <c r="V71" s="414">
        <f t="shared" si="41"/>
        <v>34900</v>
      </c>
      <c r="W71" s="415">
        <f t="shared" si="35"/>
        <v>38087.440000000002</v>
      </c>
      <c r="X71" s="415">
        <f t="shared" si="36"/>
        <v>3187.4400000000023</v>
      </c>
      <c r="Y71" s="773">
        <f t="shared" si="37"/>
        <v>9.1330659025788033E-2</v>
      </c>
      <c r="Z71" s="953"/>
      <c r="AA71" s="567">
        <v>34900</v>
      </c>
      <c r="AB71" s="416">
        <f t="shared" si="38"/>
        <v>-3187.4400000000023</v>
      </c>
      <c r="AC71" s="773">
        <f t="shared" si="39"/>
        <v>-9.1330659025788033E-2</v>
      </c>
      <c r="AD71" s="1164"/>
      <c r="AE71" s="1179"/>
    </row>
    <row r="72" spans="1:31" x14ac:dyDescent="0.3">
      <c r="A72" s="1096" t="s">
        <v>99</v>
      </c>
      <c r="B72" s="414">
        <v>20196</v>
      </c>
      <c r="C72" s="415">
        <v>2260.8000000000002</v>
      </c>
      <c r="D72" s="416">
        <f t="shared" si="28"/>
        <v>-17935.2</v>
      </c>
      <c r="E72" s="194">
        <f t="shared" si="40"/>
        <v>-0.88805704099821747</v>
      </c>
      <c r="F72" s="171"/>
      <c r="G72" s="1065">
        <v>20196</v>
      </c>
      <c r="H72" s="1042">
        <v>18123.72</v>
      </c>
      <c r="I72" s="567">
        <f t="shared" si="29"/>
        <v>-2072.2799999999988</v>
      </c>
      <c r="J72" s="195">
        <f t="shared" si="30"/>
        <v>-0.10260843731431961</v>
      </c>
      <c r="K72" s="1163"/>
      <c r="L72" s="414">
        <v>20196</v>
      </c>
      <c r="M72" s="415">
        <v>6102.6</v>
      </c>
      <c r="N72" s="415">
        <f t="shared" si="31"/>
        <v>-14093.4</v>
      </c>
      <c r="O72" s="196">
        <f t="shared" si="32"/>
        <v>-0.69783125371360666</v>
      </c>
      <c r="P72" s="171"/>
      <c r="Q72" s="426">
        <v>20196</v>
      </c>
      <c r="R72" s="427">
        <v>4494.18</v>
      </c>
      <c r="S72" s="415">
        <f t="shared" si="33"/>
        <v>-15701.82</v>
      </c>
      <c r="T72" s="197">
        <f t="shared" si="34"/>
        <v>-0.77747177658942368</v>
      </c>
      <c r="U72" s="783"/>
      <c r="V72" s="414">
        <f t="shared" si="41"/>
        <v>80784</v>
      </c>
      <c r="W72" s="415">
        <f t="shared" si="35"/>
        <v>30981.300000000003</v>
      </c>
      <c r="X72" s="415">
        <f t="shared" si="36"/>
        <v>-49802.7</v>
      </c>
      <c r="Y72" s="773">
        <f t="shared" si="37"/>
        <v>-0.61649212715389179</v>
      </c>
      <c r="Z72" s="951"/>
      <c r="AA72" s="567">
        <v>188174</v>
      </c>
      <c r="AB72" s="416">
        <f t="shared" si="38"/>
        <v>157192.70000000001</v>
      </c>
      <c r="AC72" s="773">
        <f t="shared" si="39"/>
        <v>0.83535823227438444</v>
      </c>
      <c r="AD72" s="1163"/>
      <c r="AE72" s="1179"/>
    </row>
    <row r="73" spans="1:31" x14ac:dyDescent="0.3">
      <c r="A73" s="1096" t="s">
        <v>100</v>
      </c>
      <c r="B73" s="414">
        <v>11250</v>
      </c>
      <c r="C73" s="415">
        <v>0</v>
      </c>
      <c r="D73" s="416">
        <f t="shared" si="28"/>
        <v>-11250</v>
      </c>
      <c r="E73" s="194">
        <f t="shared" si="40"/>
        <v>-1</v>
      </c>
      <c r="F73" s="230"/>
      <c r="G73" s="1065">
        <v>11250</v>
      </c>
      <c r="H73" s="1042">
        <v>883.96</v>
      </c>
      <c r="I73" s="567">
        <f t="shared" si="29"/>
        <v>-10366.040000000001</v>
      </c>
      <c r="J73" s="195">
        <f t="shared" si="30"/>
        <v>-0.9214257777777779</v>
      </c>
      <c r="K73" s="1164"/>
      <c r="L73" s="414">
        <v>11250</v>
      </c>
      <c r="M73" s="415">
        <v>0</v>
      </c>
      <c r="N73" s="415">
        <f>M73-L73</f>
        <v>-11250</v>
      </c>
      <c r="O73" s="196">
        <f t="shared" si="32"/>
        <v>-1</v>
      </c>
      <c r="P73" s="230"/>
      <c r="Q73" s="426">
        <v>11250</v>
      </c>
      <c r="R73" s="427">
        <v>1192.53</v>
      </c>
      <c r="S73" s="415">
        <f t="shared" si="33"/>
        <v>-10057.469999999999</v>
      </c>
      <c r="T73" s="197"/>
      <c r="U73" s="785"/>
      <c r="V73" s="414">
        <f t="shared" si="41"/>
        <v>45000</v>
      </c>
      <c r="W73" s="415">
        <f t="shared" si="35"/>
        <v>2076.4899999999998</v>
      </c>
      <c r="X73" s="415">
        <f t="shared" si="36"/>
        <v>-42923.51</v>
      </c>
      <c r="Y73" s="773">
        <f t="shared" si="37"/>
        <v>-0.95385577777777786</v>
      </c>
      <c r="Z73" s="953"/>
      <c r="AA73" s="567">
        <v>45000</v>
      </c>
      <c r="AB73" s="416">
        <f t="shared" si="38"/>
        <v>42923.51</v>
      </c>
      <c r="AC73" s="773">
        <f t="shared" si="39"/>
        <v>0.95385577777777786</v>
      </c>
      <c r="AD73" s="1164"/>
      <c r="AE73" s="1178"/>
    </row>
    <row r="74" spans="1:31" x14ac:dyDescent="0.3">
      <c r="A74" s="1271" t="s">
        <v>101</v>
      </c>
      <c r="B74" s="414">
        <v>15000</v>
      </c>
      <c r="C74" s="415">
        <v>12687.74</v>
      </c>
      <c r="D74" s="416">
        <f t="shared" si="28"/>
        <v>-2312.2600000000002</v>
      </c>
      <c r="E74" s="194">
        <f t="shared" si="40"/>
        <v>-0.15415066666666669</v>
      </c>
      <c r="F74" s="171"/>
      <c r="G74" s="889">
        <v>15000</v>
      </c>
      <c r="H74" s="1042">
        <v>13513.35</v>
      </c>
      <c r="I74" s="567">
        <f t="shared" si="29"/>
        <v>-1486.6499999999996</v>
      </c>
      <c r="J74" s="195">
        <f t="shared" si="30"/>
        <v>-9.9109999999999976E-2</v>
      </c>
      <c r="K74" s="1163"/>
      <c r="L74" s="414">
        <v>15000</v>
      </c>
      <c r="M74" s="415">
        <v>11234.62</v>
      </c>
      <c r="N74" s="415">
        <f t="shared" si="31"/>
        <v>-3765.3799999999992</v>
      </c>
      <c r="O74" s="196">
        <f>IF(ISERROR(N74/L74),"-",N74/L74)</f>
        <v>-0.25102533333333327</v>
      </c>
      <c r="P74" s="171"/>
      <c r="Q74" s="426">
        <v>15000</v>
      </c>
      <c r="R74" s="427">
        <v>11515.71</v>
      </c>
      <c r="S74" s="415">
        <f t="shared" si="33"/>
        <v>-3484.2900000000009</v>
      </c>
      <c r="T74" s="197">
        <f>IF(ISERROR(S74/Q74),"-",S74/Q74)</f>
        <v>-0.23228600000000005</v>
      </c>
      <c r="U74" s="783"/>
      <c r="V74" s="414">
        <f t="shared" si="41"/>
        <v>60000</v>
      </c>
      <c r="W74" s="415">
        <f t="shared" si="35"/>
        <v>48951.42</v>
      </c>
      <c r="X74" s="415">
        <f t="shared" si="36"/>
        <v>-11048.580000000002</v>
      </c>
      <c r="Y74" s="773">
        <f t="shared" si="37"/>
        <v>-0.18414300000000003</v>
      </c>
      <c r="Z74" s="951"/>
      <c r="AA74" s="567">
        <v>60000</v>
      </c>
      <c r="AB74" s="416">
        <f>AA74-W74</f>
        <v>11048.580000000002</v>
      </c>
      <c r="AC74" s="773">
        <f t="shared" si="39"/>
        <v>0.18414300000000003</v>
      </c>
      <c r="AD74" s="1163"/>
      <c r="AE74" s="1178"/>
    </row>
    <row r="75" spans="1:31" x14ac:dyDescent="0.3">
      <c r="A75" s="1272" t="s">
        <v>120</v>
      </c>
      <c r="B75" s="414">
        <v>0</v>
      </c>
      <c r="C75" s="415">
        <v>0</v>
      </c>
      <c r="D75" s="416">
        <f t="shared" si="28"/>
        <v>0</v>
      </c>
      <c r="E75" s="194" t="str">
        <f t="shared" si="40"/>
        <v>-</v>
      </c>
      <c r="F75" s="171"/>
      <c r="G75" s="1065">
        <v>0</v>
      </c>
      <c r="H75" s="415">
        <v>0</v>
      </c>
      <c r="I75" s="567">
        <f t="shared" si="29"/>
        <v>0</v>
      </c>
      <c r="J75" s="195" t="str">
        <f t="shared" si="30"/>
        <v>-</v>
      </c>
      <c r="K75" s="1163"/>
      <c r="L75" s="415">
        <v>0</v>
      </c>
      <c r="M75" s="415">
        <v>0</v>
      </c>
      <c r="N75" s="415">
        <f t="shared" si="31"/>
        <v>0</v>
      </c>
      <c r="O75" s="196" t="str">
        <f>IF(ISERROR(N75/L75),"-",N75/L75)</f>
        <v>-</v>
      </c>
      <c r="P75" s="171"/>
      <c r="Q75" s="426">
        <v>0</v>
      </c>
      <c r="R75" s="427"/>
      <c r="S75" s="415">
        <f t="shared" si="33"/>
        <v>0</v>
      </c>
      <c r="T75" s="197" t="str">
        <f>IF(ISERROR(S75/Q75),"-",S75/Q75)</f>
        <v>-</v>
      </c>
      <c r="U75" s="783"/>
      <c r="V75" s="414">
        <f t="shared" si="41"/>
        <v>0</v>
      </c>
      <c r="W75" s="415">
        <f t="shared" si="35"/>
        <v>0</v>
      </c>
      <c r="X75" s="415">
        <f t="shared" si="36"/>
        <v>0</v>
      </c>
      <c r="Y75" s="773" t="str">
        <f t="shared" si="37"/>
        <v>-</v>
      </c>
      <c r="Z75" s="951"/>
      <c r="AA75" s="567">
        <v>0</v>
      </c>
      <c r="AB75" s="416">
        <f t="shared" si="38"/>
        <v>0</v>
      </c>
      <c r="AC75" s="773" t="str">
        <f t="shared" si="39"/>
        <v>-</v>
      </c>
      <c r="AD75" s="1163"/>
      <c r="AE75" s="1178"/>
    </row>
    <row r="76" spans="1:31" x14ac:dyDescent="0.3">
      <c r="A76" s="1265" t="s">
        <v>102</v>
      </c>
      <c r="B76" s="432">
        <f>SUM(B43:B75)</f>
        <v>1857410</v>
      </c>
      <c r="C76" s="433">
        <f>SUM(C43:C75)</f>
        <v>2203239.6499999994</v>
      </c>
      <c r="D76" s="433">
        <f>SUM(D44:D75)</f>
        <v>345829.64999999967</v>
      </c>
      <c r="E76" s="211">
        <f t="shared" si="40"/>
        <v>0.18618918278678356</v>
      </c>
      <c r="F76" s="178"/>
      <c r="G76" s="1046">
        <f>SUM(G43:G75)</f>
        <v>1857410</v>
      </c>
      <c r="H76" s="1232">
        <f>SUM(H43:H75)</f>
        <v>2283758.4700000011</v>
      </c>
      <c r="I76" s="565">
        <f>SUM(I43:I75)</f>
        <v>426348.47000000003</v>
      </c>
      <c r="J76" s="211">
        <f>IF(ISERROR(I76/G76),"-",I76/G76)</f>
        <v>0.22953923474084884</v>
      </c>
      <c r="K76" s="1173"/>
      <c r="L76" s="432">
        <f>SUM(L43:L75)</f>
        <v>1857410</v>
      </c>
      <c r="M76" s="433">
        <f>SUM(M43:M75)</f>
        <v>1700656.7200000002</v>
      </c>
      <c r="N76" s="433">
        <f>SUM(N43:N75)</f>
        <v>-156753.28</v>
      </c>
      <c r="O76" s="211">
        <f>IF(ISERROR(N76/L76),"-",N76/L76)</f>
        <v>-8.4393472631244582E-2</v>
      </c>
      <c r="P76" s="178"/>
      <c r="Q76" s="432">
        <f>SUM(Q43:Q75)</f>
        <v>1857410</v>
      </c>
      <c r="R76" s="433">
        <f>SUM(R43:R75)</f>
        <v>2469956.1999999997</v>
      </c>
      <c r="S76" s="433">
        <f>SUM(S43:S75)</f>
        <v>612546.19999999984</v>
      </c>
      <c r="T76" s="211">
        <f>IF(ISERROR(S76/Q76),"-",S76/Q76)</f>
        <v>0.32978513090809236</v>
      </c>
      <c r="U76" s="784"/>
      <c r="V76" s="432">
        <f>SUM(V43:V75)</f>
        <v>7429640</v>
      </c>
      <c r="W76" s="433">
        <f>SUM(W43:W75)</f>
        <v>8657611.0400000028</v>
      </c>
      <c r="X76" s="433">
        <f>SUM(X43:X75)</f>
        <v>1227971.0400000003</v>
      </c>
      <c r="Y76" s="1219">
        <f t="shared" si="37"/>
        <v>0.16528001895112016</v>
      </c>
      <c r="Z76" s="784"/>
      <c r="AA76" s="565">
        <f>SUM(AA43:AA75)</f>
        <v>15297585</v>
      </c>
      <c r="AB76" s="433">
        <f>SUM(AB43:AB75)</f>
        <v>6639973.9599999981</v>
      </c>
      <c r="AC76" s="211">
        <f t="shared" si="39"/>
        <v>0.4340537385476203</v>
      </c>
      <c r="AD76" s="1173"/>
      <c r="AE76" s="1181"/>
    </row>
    <row r="77" spans="1:31" x14ac:dyDescent="0.3">
      <c r="A77" s="1273"/>
      <c r="B77" s="448"/>
      <c r="C77" s="449"/>
      <c r="D77" s="449"/>
      <c r="E77" s="253"/>
      <c r="F77" s="160"/>
      <c r="G77" s="1064"/>
      <c r="H77" s="1233"/>
      <c r="I77" s="792"/>
      <c r="J77" s="256"/>
      <c r="K77" s="1168"/>
      <c r="L77" s="448"/>
      <c r="M77" s="449"/>
      <c r="N77" s="449"/>
      <c r="O77" s="257"/>
      <c r="P77" s="160"/>
      <c r="Q77" s="450"/>
      <c r="R77" s="451"/>
      <c r="S77" s="451"/>
      <c r="T77" s="258"/>
      <c r="U77" s="781"/>
      <c r="V77" s="452"/>
      <c r="W77" s="453"/>
      <c r="X77" s="449"/>
      <c r="Y77" s="1245"/>
      <c r="Z77" s="781"/>
      <c r="AA77" s="1248"/>
      <c r="AB77" s="449"/>
      <c r="AC77" s="776"/>
      <c r="AD77" s="1168"/>
      <c r="AE77" s="1178"/>
    </row>
    <row r="78" spans="1:31" ht="19.5" thickBot="1" x14ac:dyDescent="0.35">
      <c r="A78" s="1265" t="s">
        <v>103</v>
      </c>
      <c r="B78" s="432">
        <f>B41+B76</f>
        <v>2331396.75</v>
      </c>
      <c r="C78" s="433">
        <f>C41+C76</f>
        <v>2648450.4399999995</v>
      </c>
      <c r="D78" s="433">
        <f>D41+D76+D77</f>
        <v>317053.68999999965</v>
      </c>
      <c r="E78" s="211">
        <f>IF(ISERROR(D78/B78),"-",D78/B78)</f>
        <v>0.13599302220868226</v>
      </c>
      <c r="F78" s="230"/>
      <c r="G78" s="1046">
        <f>G41+G76+G77</f>
        <v>2331396.75</v>
      </c>
      <c r="H78" s="1232">
        <f>H41+H76+H77</f>
        <v>2746146.6700000013</v>
      </c>
      <c r="I78" s="1227">
        <f>I41+I76+I77</f>
        <v>414749.92000000004</v>
      </c>
      <c r="J78" s="211">
        <f>IF(ISERROR(I78/G78),"-",I78/G78)</f>
        <v>0.17789761438073551</v>
      </c>
      <c r="K78" s="1164"/>
      <c r="L78" s="432">
        <f>L41+L76+L77</f>
        <v>2331396.75</v>
      </c>
      <c r="M78" s="433">
        <f>M41+M76+M77</f>
        <v>2138670.2800000003</v>
      </c>
      <c r="N78" s="433">
        <f>N41+N76+N77</f>
        <v>-192726.47</v>
      </c>
      <c r="O78" s="211">
        <f>IF(ISERROR(N78/L78),"-",N78/L78)</f>
        <v>-8.2665668123625885E-2</v>
      </c>
      <c r="P78" s="230"/>
      <c r="Q78" s="432">
        <f>Q41+Q76+Q77</f>
        <v>2331396.75</v>
      </c>
      <c r="R78" s="754">
        <f>R41+R76+R77</f>
        <v>2833627.07</v>
      </c>
      <c r="S78" s="433">
        <f>S41+S76+S77</f>
        <v>502230.31999999983</v>
      </c>
      <c r="T78" s="211">
        <f>IF(ISERROR(S78/Q78),"-",S78/Q78)</f>
        <v>0.21542035691694253</v>
      </c>
      <c r="U78" s="785"/>
      <c r="V78" s="432">
        <f>V41+V76+V77</f>
        <v>9325587</v>
      </c>
      <c r="W78" s="433">
        <f>W41+W76+W77</f>
        <v>10366894.460000003</v>
      </c>
      <c r="X78" s="433">
        <f>X41+X76+X77</f>
        <v>1041307.4600000003</v>
      </c>
      <c r="Y78" s="1219">
        <f>IF(ISERROR(X78/V78),"-",X78/V78)</f>
        <v>0.11166133134568369</v>
      </c>
      <c r="Z78" s="785"/>
      <c r="AA78" s="565">
        <f>AA41+AA76+AA77</f>
        <v>17244316</v>
      </c>
      <c r="AB78" s="433">
        <f>AB41+AB76+AB77</f>
        <v>6877421.5399999982</v>
      </c>
      <c r="AC78" s="211">
        <f>IF(ISERROR(AB78/AA78),"-",AB78/AA78)</f>
        <v>0.39882251867803847</v>
      </c>
      <c r="AD78" s="1164"/>
      <c r="AE78" s="1181"/>
    </row>
    <row r="79" spans="1:31" ht="19.5" thickBot="1" x14ac:dyDescent="0.35">
      <c r="A79" s="261" t="s">
        <v>166</v>
      </c>
      <c r="B79" s="448">
        <f>B25-B78</f>
        <v>0</v>
      </c>
      <c r="C79" s="448">
        <f>C25-C78</f>
        <v>-156690.16999999946</v>
      </c>
      <c r="D79" s="448">
        <f>D25-D78</f>
        <v>-156690.16999999969</v>
      </c>
      <c r="E79" s="1160"/>
      <c r="F79" s="262">
        <f>F25-F78</f>
        <v>0</v>
      </c>
      <c r="G79" s="752">
        <f>G25-G78</f>
        <v>0</v>
      </c>
      <c r="H79" s="1086">
        <f>H25-H78</f>
        <v>-308856.95000000158</v>
      </c>
      <c r="I79" s="1228">
        <f>I25-I78</f>
        <v>-308856.95000000007</v>
      </c>
      <c r="J79" s="753"/>
      <c r="K79" s="262">
        <f>K25-K78</f>
        <v>0</v>
      </c>
      <c r="L79" s="448">
        <f>L25-L78</f>
        <v>0</v>
      </c>
      <c r="M79" s="448">
        <f>M25-M78</f>
        <v>149100.15999999968</v>
      </c>
      <c r="N79" s="448">
        <f>N25-N78</f>
        <v>149100.16</v>
      </c>
      <c r="O79" s="262"/>
      <c r="P79" s="262">
        <f>P25-P78</f>
        <v>0</v>
      </c>
      <c r="Q79" s="752">
        <f>Q25-Q78</f>
        <v>0</v>
      </c>
      <c r="R79" s="755">
        <f>R25-R78</f>
        <v>2138823.3299999996</v>
      </c>
      <c r="S79" s="755">
        <f>S25-S78</f>
        <v>2138823.33</v>
      </c>
      <c r="T79" s="756"/>
      <c r="U79" s="726">
        <f>U25-U78</f>
        <v>0</v>
      </c>
      <c r="V79" s="448">
        <f>V25-V78</f>
        <v>0</v>
      </c>
      <c r="W79" s="448">
        <f>W25-W78</f>
        <v>1822376.3699999973</v>
      </c>
      <c r="X79" s="448">
        <f>X25-X78</f>
        <v>1822376.3699999996</v>
      </c>
      <c r="Y79" s="727"/>
      <c r="Z79" s="726">
        <f>Z25-Z78</f>
        <v>0</v>
      </c>
      <c r="AA79" s="760">
        <f>AA25-AA78</f>
        <v>-7765727</v>
      </c>
      <c r="AB79" s="448">
        <f>AB25-AB78</f>
        <v>-9588103.3699999973</v>
      </c>
      <c r="AC79" s="727"/>
      <c r="AD79" s="1168"/>
      <c r="AE79" s="1178"/>
    </row>
    <row r="80" spans="1:31" ht="33" customHeight="1" thickBot="1" x14ac:dyDescent="0.35">
      <c r="A80" s="263" t="s">
        <v>167</v>
      </c>
      <c r="B80" s="448"/>
      <c r="C80" s="449"/>
      <c r="D80" s="449">
        <f>C80-B80</f>
        <v>0</v>
      </c>
      <c r="E80" s="253"/>
      <c r="F80" s="160"/>
      <c r="G80" s="1064"/>
      <c r="H80" s="1233"/>
      <c r="I80" s="1228">
        <f>H80-G80</f>
        <v>0</v>
      </c>
      <c r="J80" s="761"/>
      <c r="K80" s="1168"/>
      <c r="L80" s="448"/>
      <c r="M80" s="449"/>
      <c r="N80" s="449">
        <f>M80-L80</f>
        <v>0</v>
      </c>
      <c r="O80" s="475"/>
      <c r="P80" s="160"/>
      <c r="Q80" s="450"/>
      <c r="R80" s="447"/>
      <c r="S80" s="429">
        <f>R80-Q80</f>
        <v>0</v>
      </c>
      <c r="T80" s="489"/>
      <c r="U80" s="781"/>
      <c r="V80" s="452"/>
      <c r="W80" s="423"/>
      <c r="X80" s="437"/>
      <c r="Y80" s="777"/>
      <c r="Z80" s="781"/>
      <c r="AA80" s="1248"/>
      <c r="AB80" s="449"/>
      <c r="AC80" s="777"/>
      <c r="AD80" s="1168"/>
      <c r="AE80" s="1178"/>
    </row>
    <row r="81" spans="1:31" ht="19.5" thickBot="1" x14ac:dyDescent="0.35">
      <c r="A81" s="265" t="s">
        <v>168</v>
      </c>
      <c r="B81" s="448">
        <f>B79-B80</f>
        <v>0</v>
      </c>
      <c r="C81" s="448">
        <f t="shared" ref="C81:AA81" si="42">C79-C80</f>
        <v>-156690.16999999946</v>
      </c>
      <c r="D81" s="448">
        <f t="shared" si="42"/>
        <v>-156690.16999999969</v>
      </c>
      <c r="E81" s="194"/>
      <c r="F81" s="262">
        <f t="shared" si="42"/>
        <v>0</v>
      </c>
      <c r="G81" s="752">
        <f t="shared" si="42"/>
        <v>0</v>
      </c>
      <c r="H81" s="1086">
        <f t="shared" si="42"/>
        <v>-308856.95000000158</v>
      </c>
      <c r="I81" s="1228">
        <f t="shared" si="42"/>
        <v>-308856.95000000007</v>
      </c>
      <c r="J81" s="762"/>
      <c r="K81" s="262">
        <f>K27-K80</f>
        <v>0</v>
      </c>
      <c r="L81" s="448">
        <f t="shared" si="42"/>
        <v>0</v>
      </c>
      <c r="M81" s="448">
        <f t="shared" si="42"/>
        <v>149100.15999999968</v>
      </c>
      <c r="N81" s="752">
        <f t="shared" si="42"/>
        <v>149100.16</v>
      </c>
      <c r="O81" s="757"/>
      <c r="P81" s="448">
        <f>P27-P80</f>
        <v>0</v>
      </c>
      <c r="Q81" s="752">
        <f t="shared" si="42"/>
        <v>0</v>
      </c>
      <c r="R81" s="755">
        <f t="shared" si="42"/>
        <v>2138823.3299999996</v>
      </c>
      <c r="S81" s="752">
        <f>S79-S80</f>
        <v>2138823.33</v>
      </c>
      <c r="T81" s="759"/>
      <c r="U81" s="726"/>
      <c r="V81" s="752">
        <f>V79-V80</f>
        <v>0</v>
      </c>
      <c r="W81" s="755">
        <f t="shared" si="42"/>
        <v>1822376.3699999973</v>
      </c>
      <c r="X81" s="755">
        <f t="shared" si="42"/>
        <v>1822376.3699999996</v>
      </c>
      <c r="Y81" s="758"/>
      <c r="Z81" s="726">
        <f>Z27-Z80</f>
        <v>0</v>
      </c>
      <c r="AA81" s="760">
        <f t="shared" si="42"/>
        <v>-7765727</v>
      </c>
      <c r="AB81" s="752">
        <f>AB79-AB80</f>
        <v>-9588103.3699999973</v>
      </c>
      <c r="AC81" s="758"/>
      <c r="AD81" s="1164"/>
      <c r="AE81" s="1178"/>
    </row>
    <row r="82" spans="1:31" ht="25.5" customHeight="1" x14ac:dyDescent="0.3">
      <c r="A82" s="1256" t="s">
        <v>104</v>
      </c>
      <c r="B82" s="414"/>
      <c r="C82" s="415"/>
      <c r="D82" s="605">
        <f>B82-C82</f>
        <v>0</v>
      </c>
      <c r="E82" s="961" t="str">
        <f>IF(ISERROR(D82/B82),"-",D82/B82)</f>
        <v>-</v>
      </c>
      <c r="F82" s="230"/>
      <c r="G82" s="1065"/>
      <c r="H82" s="1234"/>
      <c r="I82" s="602">
        <f>G82-H82</f>
        <v>0</v>
      </c>
      <c r="J82" s="195" t="str">
        <f>IF(ISERROR(I82/G82),"-",I82/G82)</f>
        <v>-</v>
      </c>
      <c r="K82" s="1164"/>
      <c r="L82" s="414"/>
      <c r="M82" s="415"/>
      <c r="N82" s="415">
        <f>L82-M82</f>
        <v>0</v>
      </c>
      <c r="O82" s="266" t="str">
        <f>IF(ISERROR(N82/L82),"-",N82/L82)</f>
        <v>-</v>
      </c>
      <c r="P82" s="230"/>
      <c r="Q82" s="426"/>
      <c r="R82" s="427"/>
      <c r="S82" s="427">
        <f>Q82-R82</f>
        <v>0</v>
      </c>
      <c r="T82" s="267" t="str">
        <f>IF(ISERROR(S82/Q82),"-",S82/Q82)</f>
        <v>-</v>
      </c>
      <c r="U82" s="785"/>
      <c r="V82" s="414">
        <f>B82+G82+L82+Q82</f>
        <v>0</v>
      </c>
      <c r="W82" s="415">
        <f>C82+H82+M82+R82</f>
        <v>0</v>
      </c>
      <c r="X82" s="415">
        <f>V82-W82</f>
        <v>0</v>
      </c>
      <c r="Y82" s="778" t="str">
        <f>IF(ISERROR(X82/V82),"-",X82/V82)</f>
        <v>-</v>
      </c>
      <c r="Z82" s="785"/>
      <c r="AA82" s="567">
        <f>G82+L82+Q82+V82</f>
        <v>0</v>
      </c>
      <c r="AB82" s="415">
        <f>AA82-W82</f>
        <v>0</v>
      </c>
      <c r="AC82" s="778" t="str">
        <f>IF(ISERROR(AB82/AA82),"-",AB82/AA82)</f>
        <v>-</v>
      </c>
      <c r="AD82" s="1164"/>
      <c r="AE82" s="1178"/>
    </row>
    <row r="83" spans="1:31" ht="29.25" customHeight="1" thickBot="1" x14ac:dyDescent="0.35">
      <c r="A83" s="1274" t="s">
        <v>105</v>
      </c>
      <c r="B83" s="454">
        <f>B81-B82</f>
        <v>0</v>
      </c>
      <c r="C83" s="454">
        <f>C81-C82</f>
        <v>-156690.16999999946</v>
      </c>
      <c r="D83" s="455">
        <f>C83-B83</f>
        <v>-156690.16999999946</v>
      </c>
      <c r="E83" s="750" t="str">
        <f>IF(ISERROR(D83/B83),"-",D83/B83)</f>
        <v>-</v>
      </c>
      <c r="F83" s="1243"/>
      <c r="G83" s="960">
        <f>G81-G82</f>
        <v>0</v>
      </c>
      <c r="H83" s="1229">
        <f>H81-H82</f>
        <v>-308856.95000000158</v>
      </c>
      <c r="I83" s="455">
        <f>H83-G83</f>
        <v>-308856.95000000158</v>
      </c>
      <c r="J83" s="271" t="str">
        <f>IF(ISERROR(I83/G83),"-",I83/G83)</f>
        <v>-</v>
      </c>
      <c r="K83" s="1242"/>
      <c r="L83" s="454">
        <f>L81-L82</f>
        <v>0</v>
      </c>
      <c r="M83" s="454">
        <f>M81-M82</f>
        <v>149100.15999999968</v>
      </c>
      <c r="N83" s="454">
        <f>N81-N82</f>
        <v>149100.16</v>
      </c>
      <c r="O83" s="271" t="str">
        <f>IF(ISERROR(N83/L83),"-",N83/L83)</f>
        <v>-</v>
      </c>
      <c r="P83" s="1243"/>
      <c r="Q83" s="454">
        <f>Q81-Q82</f>
        <v>0</v>
      </c>
      <c r="R83" s="454">
        <f>R81-R82</f>
        <v>2138823.3299999996</v>
      </c>
      <c r="S83" s="454">
        <f>S81-S82</f>
        <v>2138823.33</v>
      </c>
      <c r="T83" s="271" t="str">
        <f>IF(ISERROR(S83/Q83),"-",S83/Q83)</f>
        <v>-</v>
      </c>
      <c r="U83" s="799"/>
      <c r="V83" s="456">
        <f>V81-V82</f>
        <v>0</v>
      </c>
      <c r="W83" s="456">
        <f>W81-W82</f>
        <v>1822376.3699999973</v>
      </c>
      <c r="X83" s="454">
        <f>X81-X82</f>
        <v>1822376.3699999996</v>
      </c>
      <c r="Y83" s="779" t="str">
        <f>IF(ISERROR(X83/V83),"-",X83/V83)</f>
        <v>-</v>
      </c>
      <c r="Z83" s="799"/>
      <c r="AA83" s="1249">
        <f>AA81-AA82</f>
        <v>-7765727</v>
      </c>
      <c r="AB83" s="456">
        <f>AB81-AB82</f>
        <v>-9588103.3699999973</v>
      </c>
      <c r="AC83" s="779">
        <f>IF(ISERROR(AB83/AA83),"-",AB83/AA83)</f>
        <v>1.2346691262775522</v>
      </c>
      <c r="AD83" s="1115"/>
      <c r="AE83" s="1186"/>
    </row>
  </sheetData>
  <sheetProtection algorithmName="SHA-512" hashValue="URHQzwPIvEis4KhqY5QsLbJS1wYNyo6wcqVLZymdbIkCTgJkpW+JAIfcwohI5sNjm3lUpJXnz+W9+qpWKsH1qA==" saltValue="lTG+Z5KgzLBrqnJtLI8c1A==" spinCount="100000" sheet="1" objects="1" scenarios="1"/>
  <mergeCells count="19">
    <mergeCell ref="A7:H7"/>
    <mergeCell ref="A1:H1"/>
    <mergeCell ref="A3:H3"/>
    <mergeCell ref="A4:H4"/>
    <mergeCell ref="A5:H5"/>
    <mergeCell ref="A6:H6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conditionalFormatting sqref="E56">
    <cfRule type="cellIs" dxfId="6" priority="1" stopIfTrue="1" operator="equal">
      <formula>""""""</formula>
    </cfRule>
  </conditionalFormatting>
  <pageMargins left="0.7" right="0.7" top="0.75" bottom="0.75" header="0.3" footer="0.3"/>
  <pageSetup paperSize="17" scale="5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I79"/>
  <sheetViews>
    <sheetView topLeftCell="A4" zoomScale="70" zoomScaleNormal="70" workbookViewId="0">
      <selection activeCell="E61" sqref="E61"/>
    </sheetView>
  </sheetViews>
  <sheetFormatPr defaultColWidth="8.85546875" defaultRowHeight="15.75" customHeight="1" x14ac:dyDescent="0.3"/>
  <cols>
    <col min="1" max="1" width="64.42578125" style="46" customWidth="1"/>
    <col min="2" max="2" width="16.42578125" style="379" customWidth="1"/>
    <col min="3" max="3" width="16.85546875" style="379" customWidth="1"/>
    <col min="4" max="4" width="18.140625" style="379" customWidth="1"/>
    <col min="5" max="5" width="17" style="379" customWidth="1"/>
    <col min="6" max="6" width="17.42578125" style="379" customWidth="1"/>
    <col min="7" max="8" width="8.85546875" style="46" customWidth="1"/>
    <col min="9" max="9" width="12.42578125" style="46" bestFit="1" customWidth="1"/>
    <col min="10" max="231" width="8.85546875" style="46" customWidth="1"/>
    <col min="232" max="16384" width="8.85546875" style="46"/>
  </cols>
  <sheetData>
    <row r="1" spans="1:6" ht="18.75" customHeight="1" x14ac:dyDescent="0.3">
      <c r="A1" s="1731" t="s">
        <v>49</v>
      </c>
      <c r="B1" s="1733"/>
      <c r="C1" s="1733"/>
      <c r="D1" s="1733"/>
      <c r="E1" s="1733"/>
      <c r="F1" s="1733"/>
    </row>
    <row r="2" spans="1:6" ht="18.75" customHeight="1" x14ac:dyDescent="0.3">
      <c r="A2" s="47"/>
      <c r="B2" s="327"/>
      <c r="C2" s="327"/>
      <c r="D2" s="327"/>
      <c r="E2" s="327"/>
      <c r="F2" s="327"/>
    </row>
    <row r="3" spans="1:6" s="49" customFormat="1" ht="18.75" customHeight="1" x14ac:dyDescent="0.3">
      <c r="A3" s="1767" t="s">
        <v>173</v>
      </c>
      <c r="B3" s="1768"/>
      <c r="C3" s="1768"/>
      <c r="D3" s="1768"/>
      <c r="E3" s="1768"/>
      <c r="F3" s="1768"/>
    </row>
    <row r="4" spans="1:6" ht="18.75" customHeight="1" x14ac:dyDescent="0.3">
      <c r="A4" s="1734" t="s">
        <v>0</v>
      </c>
      <c r="B4" s="1735"/>
      <c r="C4" s="1735"/>
      <c r="D4" s="1735"/>
      <c r="E4" s="1735"/>
      <c r="F4" s="1735"/>
    </row>
    <row r="5" spans="1:6" ht="18.75" customHeight="1" x14ac:dyDescent="0.3">
      <c r="A5" s="1734" t="s">
        <v>1</v>
      </c>
      <c r="B5" s="1736"/>
      <c r="C5" s="1736"/>
      <c r="D5" s="1736"/>
      <c r="E5" s="1736"/>
      <c r="F5" s="1736"/>
    </row>
    <row r="6" spans="1:6" ht="18.75" customHeight="1" x14ac:dyDescent="0.3">
      <c r="A6" s="1767" t="s">
        <v>191</v>
      </c>
      <c r="B6" s="1769"/>
      <c r="C6" s="1769"/>
      <c r="D6" s="1769"/>
      <c r="E6" s="1769"/>
      <c r="F6" s="1769"/>
    </row>
    <row r="7" spans="1:6" ht="18.75" customHeight="1" x14ac:dyDescent="0.3">
      <c r="A7" s="1729" t="s">
        <v>2</v>
      </c>
      <c r="B7" s="1730"/>
      <c r="C7" s="1730"/>
      <c r="D7" s="1730"/>
      <c r="E7" s="1730"/>
      <c r="F7" s="1730"/>
    </row>
    <row r="8" spans="1:6" ht="16.5" customHeight="1" thickBot="1" x14ac:dyDescent="0.35">
      <c r="A8" s="281"/>
      <c r="B8" s="328"/>
      <c r="C8" s="329"/>
      <c r="D8" s="328"/>
      <c r="E8" s="329"/>
      <c r="F8" s="328"/>
    </row>
    <row r="9" spans="1:6" ht="17.45" customHeight="1" x14ac:dyDescent="0.3">
      <c r="A9" s="284"/>
      <c r="B9" s="330" t="s">
        <v>160</v>
      </c>
      <c r="C9" s="331" t="s">
        <v>161</v>
      </c>
      <c r="D9" s="330" t="s">
        <v>162</v>
      </c>
      <c r="E9" s="331" t="s">
        <v>163</v>
      </c>
      <c r="F9" s="330" t="s">
        <v>3</v>
      </c>
    </row>
    <row r="10" spans="1:6" ht="15" customHeight="1" x14ac:dyDescent="0.3">
      <c r="A10" s="286"/>
      <c r="B10" s="55">
        <v>45658</v>
      </c>
      <c r="C10" s="287">
        <v>45747</v>
      </c>
      <c r="D10" s="55">
        <v>45838</v>
      </c>
      <c r="E10" s="287">
        <v>45930</v>
      </c>
      <c r="F10" s="55">
        <v>46022</v>
      </c>
    </row>
    <row r="11" spans="1:6" ht="15" customHeight="1" thickBot="1" x14ac:dyDescent="0.35">
      <c r="A11" s="288"/>
      <c r="B11" s="332" t="s">
        <v>107</v>
      </c>
      <c r="C11" s="333" t="s">
        <v>107</v>
      </c>
      <c r="D11" s="332" t="s">
        <v>107</v>
      </c>
      <c r="E11" s="334" t="s">
        <v>107</v>
      </c>
      <c r="F11" s="551" t="s">
        <v>107</v>
      </c>
    </row>
    <row r="12" spans="1:6" ht="15" customHeight="1" x14ac:dyDescent="0.3">
      <c r="A12" s="291" t="s">
        <v>4</v>
      </c>
      <c r="B12" s="335"/>
      <c r="C12" s="336"/>
      <c r="D12" s="337"/>
      <c r="E12" s="338"/>
      <c r="F12" s="336"/>
    </row>
    <row r="13" spans="1:6" ht="15" customHeight="1" x14ac:dyDescent="0.3">
      <c r="A13" s="294" t="s">
        <v>5</v>
      </c>
      <c r="B13" s="340"/>
      <c r="C13" s="341"/>
      <c r="D13" s="342"/>
      <c r="E13" s="343"/>
      <c r="F13" s="341"/>
    </row>
    <row r="14" spans="1:6" ht="15" customHeight="1" x14ac:dyDescent="0.3">
      <c r="A14" s="296" t="s">
        <v>6</v>
      </c>
      <c r="B14" s="802">
        <v>8177803.23131401</v>
      </c>
      <c r="C14" s="802">
        <v>10350925</v>
      </c>
      <c r="D14" s="802">
        <v>14514990.26</v>
      </c>
      <c r="E14" s="802">
        <v>8238516.9942599973</v>
      </c>
      <c r="F14" s="802">
        <v>7618981</v>
      </c>
    </row>
    <row r="15" spans="1:6" ht="15" customHeight="1" x14ac:dyDescent="0.3">
      <c r="A15" s="297" t="s">
        <v>7</v>
      </c>
      <c r="B15" s="802">
        <v>4649431.6100000003</v>
      </c>
      <c r="C15" s="802">
        <v>6534659</v>
      </c>
      <c r="D15" s="802">
        <v>6192566</v>
      </c>
      <c r="E15" s="802">
        <v>3714410.9</v>
      </c>
      <c r="F15" s="802">
        <v>5939507.4399999995</v>
      </c>
    </row>
    <row r="16" spans="1:6" ht="15" customHeight="1" x14ac:dyDescent="0.3">
      <c r="A16" s="297" t="s">
        <v>8</v>
      </c>
      <c r="B16" s="802">
        <v>367746.04000000004</v>
      </c>
      <c r="C16" s="802">
        <v>442496</v>
      </c>
      <c r="D16" s="802">
        <v>667352</v>
      </c>
      <c r="E16" s="802">
        <v>826101.41000000015</v>
      </c>
      <c r="F16" s="802">
        <v>452934.93178480014</v>
      </c>
    </row>
    <row r="17" spans="1:6" ht="15" customHeight="1" x14ac:dyDescent="0.3">
      <c r="A17" s="297" t="s">
        <v>9</v>
      </c>
      <c r="B17" s="802">
        <v>0</v>
      </c>
      <c r="C17" s="802">
        <v>0</v>
      </c>
      <c r="D17" s="802">
        <v>0</v>
      </c>
      <c r="E17" s="802">
        <v>0</v>
      </c>
      <c r="F17" s="802">
        <v>0</v>
      </c>
    </row>
    <row r="18" spans="1:6" ht="15" customHeight="1" x14ac:dyDescent="0.3">
      <c r="A18" s="297" t="s">
        <v>10</v>
      </c>
      <c r="B18" s="802">
        <v>826459.94</v>
      </c>
      <c r="C18" s="802">
        <v>1655294</v>
      </c>
      <c r="D18" s="802"/>
      <c r="E18" s="802">
        <v>0</v>
      </c>
      <c r="F18" s="802">
        <v>0</v>
      </c>
    </row>
    <row r="19" spans="1:6" ht="15" customHeight="1" x14ac:dyDescent="0.3">
      <c r="A19" s="298" t="s">
        <v>11</v>
      </c>
      <c r="B19" s="802">
        <v>0</v>
      </c>
      <c r="C19" s="802">
        <v>8186.41</v>
      </c>
      <c r="D19" s="802"/>
      <c r="E19" s="802">
        <v>11425.64</v>
      </c>
      <c r="F19" s="802">
        <v>11425</v>
      </c>
    </row>
    <row r="20" spans="1:6" ht="15" customHeight="1" x14ac:dyDescent="0.3">
      <c r="A20" s="299" t="s">
        <v>12</v>
      </c>
      <c r="B20" s="344">
        <f>SUM(B14:B19)</f>
        <v>14021440.821314009</v>
      </c>
      <c r="C20" s="344">
        <f>SUM(C14:C19)</f>
        <v>18991560.41</v>
      </c>
      <c r="D20" s="344">
        <f>SUM(D14:D19)</f>
        <v>21374908.259999998</v>
      </c>
      <c r="E20" s="344">
        <f>SUM(E14:E19)</f>
        <v>12790454.944259997</v>
      </c>
      <c r="F20" s="345">
        <f>SUM(F14:F19)</f>
        <v>14022848.371784799</v>
      </c>
    </row>
    <row r="21" spans="1:6" ht="15" customHeight="1" x14ac:dyDescent="0.3">
      <c r="A21" s="300"/>
      <c r="B21" s="347"/>
      <c r="C21" s="348"/>
      <c r="D21" s="349"/>
      <c r="E21" s="350"/>
      <c r="F21" s="348"/>
    </row>
    <row r="22" spans="1:6" ht="15" customHeight="1" x14ac:dyDescent="0.3">
      <c r="A22" s="301" t="s">
        <v>13</v>
      </c>
      <c r="B22" s="340"/>
      <c r="C22" s="341"/>
      <c r="D22" s="342"/>
      <c r="E22" s="343"/>
      <c r="F22" s="341"/>
    </row>
    <row r="23" spans="1:6" ht="15" customHeight="1" x14ac:dyDescent="0.3">
      <c r="A23" s="297" t="s">
        <v>14</v>
      </c>
      <c r="B23" s="802">
        <v>930399.35</v>
      </c>
      <c r="C23" s="802">
        <v>930399.35</v>
      </c>
      <c r="D23" s="802">
        <v>152733169.84999999</v>
      </c>
      <c r="E23" s="802">
        <v>152243938.6313687</v>
      </c>
      <c r="F23" s="802">
        <v>151665634.75550559</v>
      </c>
    </row>
    <row r="24" spans="1:6" ht="15" customHeight="1" x14ac:dyDescent="0.3">
      <c r="A24" s="297" t="s">
        <v>15</v>
      </c>
      <c r="B24" s="802">
        <v>0</v>
      </c>
      <c r="C24" s="802">
        <v>0</v>
      </c>
      <c r="D24" s="802">
        <v>0</v>
      </c>
      <c r="E24" s="802">
        <v>0</v>
      </c>
      <c r="F24" s="802">
        <v>0</v>
      </c>
    </row>
    <row r="25" spans="1:6" ht="15" customHeight="1" x14ac:dyDescent="0.3">
      <c r="A25" s="297" t="s">
        <v>16</v>
      </c>
      <c r="B25" s="802">
        <v>0</v>
      </c>
      <c r="C25" s="802">
        <v>0</v>
      </c>
      <c r="D25" s="802">
        <v>0</v>
      </c>
      <c r="E25" s="802">
        <v>0</v>
      </c>
      <c r="F25" s="802">
        <v>0</v>
      </c>
    </row>
    <row r="26" spans="1:6" ht="15" customHeight="1" x14ac:dyDescent="0.3">
      <c r="A26" s="297" t="s">
        <v>17</v>
      </c>
      <c r="B26" s="802">
        <v>8222994.738686</v>
      </c>
      <c r="C26" s="802">
        <v>8222995</v>
      </c>
      <c r="D26" s="802">
        <v>8222995</v>
      </c>
      <c r="E26" s="802">
        <v>16606814.375740001</v>
      </c>
      <c r="F26" s="802">
        <v>16606814</v>
      </c>
    </row>
    <row r="27" spans="1:6" ht="15" customHeight="1" x14ac:dyDescent="0.3">
      <c r="A27" s="297" t="s">
        <v>119</v>
      </c>
      <c r="B27" s="802">
        <v>0</v>
      </c>
      <c r="C27" s="802">
        <v>0</v>
      </c>
      <c r="D27" s="802">
        <v>0</v>
      </c>
      <c r="E27" s="802">
        <v>0</v>
      </c>
      <c r="F27" s="802">
        <v>0</v>
      </c>
    </row>
    <row r="28" spans="1:6" ht="15" customHeight="1" x14ac:dyDescent="0.3">
      <c r="A28" s="297" t="s">
        <v>118</v>
      </c>
      <c r="B28" s="802">
        <v>0</v>
      </c>
      <c r="C28" s="802">
        <v>0</v>
      </c>
      <c r="D28" s="802">
        <v>0</v>
      </c>
      <c r="E28" s="802">
        <v>0</v>
      </c>
      <c r="F28" s="802">
        <v>0</v>
      </c>
    </row>
    <row r="29" spans="1:6" ht="15" customHeight="1" x14ac:dyDescent="0.3">
      <c r="A29" s="298" t="s">
        <v>18</v>
      </c>
      <c r="B29" s="802">
        <v>0</v>
      </c>
      <c r="C29" s="802">
        <v>0</v>
      </c>
      <c r="D29" s="802">
        <v>0</v>
      </c>
      <c r="E29" s="802">
        <v>0</v>
      </c>
      <c r="F29" s="802">
        <v>0</v>
      </c>
    </row>
    <row r="30" spans="1:6" ht="15" customHeight="1" x14ac:dyDescent="0.3">
      <c r="A30" s="299" t="s">
        <v>19</v>
      </c>
      <c r="B30" s="344">
        <f>SUM(B23:B29)</f>
        <v>9153394.0886860006</v>
      </c>
      <c r="C30" s="344">
        <f>SUM(C23:C29)</f>
        <v>9153394.3499999996</v>
      </c>
      <c r="D30" s="344">
        <f>SUM(D23:D29)</f>
        <v>160956164.84999999</v>
      </c>
      <c r="E30" s="344">
        <f>SUM(E23:E29)</f>
        <v>168850753.00710869</v>
      </c>
      <c r="F30" s="345">
        <f>SUM(F23:F29)</f>
        <v>168272448.75550559</v>
      </c>
    </row>
    <row r="31" spans="1:6" ht="15" customHeight="1" x14ac:dyDescent="0.3">
      <c r="A31" s="300"/>
      <c r="B31" s="347"/>
      <c r="C31" s="348"/>
      <c r="D31" s="349"/>
      <c r="E31" s="350"/>
      <c r="F31" s="348"/>
    </row>
    <row r="32" spans="1:6" ht="15" customHeight="1" x14ac:dyDescent="0.3">
      <c r="A32" s="301" t="s">
        <v>20</v>
      </c>
      <c r="B32" s="351"/>
      <c r="C32" s="352"/>
      <c r="D32" s="353"/>
      <c r="E32" s="354"/>
      <c r="F32" s="352"/>
    </row>
    <row r="33" spans="1:6" ht="15" customHeight="1" x14ac:dyDescent="0.3">
      <c r="A33" s="278" t="s">
        <v>21</v>
      </c>
      <c r="B33" s="802">
        <v>6928813.4000000004</v>
      </c>
      <c r="C33" s="802">
        <v>7815181</v>
      </c>
      <c r="D33" s="802">
        <v>20042912.260000002</v>
      </c>
      <c r="E33" s="802">
        <v>20609044.886906702</v>
      </c>
      <c r="F33" s="802">
        <v>18033766.196906701</v>
      </c>
    </row>
    <row r="34" spans="1:6" ht="15" customHeight="1" x14ac:dyDescent="0.3">
      <c r="A34" s="278" t="s">
        <v>22</v>
      </c>
      <c r="B34" s="802">
        <v>480364.2</v>
      </c>
      <c r="C34" s="802">
        <v>480364.2</v>
      </c>
      <c r="D34" s="802">
        <v>766798.81</v>
      </c>
      <c r="E34" s="802">
        <v>773213.55</v>
      </c>
      <c r="F34" s="802">
        <v>988093.77</v>
      </c>
    </row>
    <row r="35" spans="1:6" ht="15" customHeight="1" x14ac:dyDescent="0.3">
      <c r="A35" s="278" t="s">
        <v>23</v>
      </c>
      <c r="B35" s="802">
        <v>932924.4</v>
      </c>
      <c r="C35" s="802">
        <v>948309</v>
      </c>
      <c r="D35" s="802">
        <v>690097.11</v>
      </c>
      <c r="E35" s="802">
        <v>690097.11</v>
      </c>
      <c r="F35" s="802">
        <v>124196.31999999999</v>
      </c>
    </row>
    <row r="36" spans="1:6" ht="15" customHeight="1" x14ac:dyDescent="0.3">
      <c r="A36" s="278" t="s">
        <v>24</v>
      </c>
      <c r="B36" s="802">
        <v>453457</v>
      </c>
      <c r="C36" s="802">
        <v>593630.35</v>
      </c>
      <c r="D36" s="802">
        <v>431993.06</v>
      </c>
      <c r="E36" s="802">
        <v>455135.41</v>
      </c>
      <c r="F36" s="802">
        <v>715976.75</v>
      </c>
    </row>
    <row r="37" spans="1:6" ht="15" customHeight="1" x14ac:dyDescent="0.3">
      <c r="A37" s="278" t="s">
        <v>25</v>
      </c>
      <c r="B37" s="802">
        <v>1903708.82</v>
      </c>
      <c r="C37" s="802">
        <v>2026518.27</v>
      </c>
      <c r="D37" s="802">
        <v>2754686.65</v>
      </c>
      <c r="E37" s="802">
        <v>3107414.8600000003</v>
      </c>
      <c r="F37" s="802">
        <v>2535381.2200000002</v>
      </c>
    </row>
    <row r="38" spans="1:6" ht="15" customHeight="1" x14ac:dyDescent="0.3">
      <c r="A38" s="279" t="s">
        <v>26</v>
      </c>
      <c r="B38" s="802">
        <v>2742060.16</v>
      </c>
      <c r="C38" s="802">
        <v>2171637.7999999998</v>
      </c>
      <c r="D38" s="802">
        <v>3620436.71</v>
      </c>
      <c r="E38" s="802">
        <v>3708873.4</v>
      </c>
      <c r="F38" s="802">
        <v>3473491.09</v>
      </c>
    </row>
    <row r="39" spans="1:6" ht="15" customHeight="1" x14ac:dyDescent="0.3">
      <c r="A39" s="299" t="s">
        <v>27</v>
      </c>
      <c r="B39" s="344">
        <f>SUM(B33:B38)</f>
        <v>13441327.98</v>
      </c>
      <c r="C39" s="344">
        <f>SUM(C33:C38)</f>
        <v>14035640.619999997</v>
      </c>
      <c r="D39" s="344">
        <f>SUM(D33:D38)</f>
        <v>28306924.599999998</v>
      </c>
      <c r="E39" s="344">
        <f>SUM(E33:E38)</f>
        <v>29343779.2169067</v>
      </c>
      <c r="F39" s="345">
        <f>SUM(F33:F38)</f>
        <v>25870905.346906699</v>
      </c>
    </row>
    <row r="40" spans="1:6" ht="15" customHeight="1" x14ac:dyDescent="0.3">
      <c r="A40" s="302"/>
      <c r="B40" s="356"/>
      <c r="C40" s="357"/>
      <c r="D40" s="358"/>
      <c r="E40" s="359"/>
      <c r="F40" s="357"/>
    </row>
    <row r="41" spans="1:6" ht="15" customHeight="1" x14ac:dyDescent="0.3">
      <c r="A41" s="294" t="s">
        <v>28</v>
      </c>
      <c r="B41" s="802">
        <v>202771.02</v>
      </c>
      <c r="C41" s="802">
        <v>171262.62</v>
      </c>
      <c r="D41" s="802">
        <v>383134.07</v>
      </c>
      <c r="E41" s="802">
        <v>384432.47000000003</v>
      </c>
      <c r="F41" s="802">
        <v>391803.07</v>
      </c>
    </row>
    <row r="42" spans="1:6" ht="15" customHeight="1" x14ac:dyDescent="0.3">
      <c r="A42" s="303"/>
      <c r="B42" s="360"/>
      <c r="C42" s="355"/>
      <c r="D42" s="361"/>
      <c r="E42" s="362"/>
      <c r="F42" s="355"/>
    </row>
    <row r="43" spans="1:6" ht="15" customHeight="1" x14ac:dyDescent="0.3">
      <c r="A43" s="299" t="s">
        <v>29</v>
      </c>
      <c r="B43" s="344">
        <f>B39+B30+B20+B41</f>
        <v>36818933.910000011</v>
      </c>
      <c r="C43" s="344">
        <f>C39+C30+C20+C41</f>
        <v>42351857.999999993</v>
      </c>
      <c r="D43" s="344">
        <f>D39+D30+D20+D41</f>
        <v>211021131.77999997</v>
      </c>
      <c r="E43" s="344">
        <f>E39+E30+E20+E41</f>
        <v>211369419.63827538</v>
      </c>
      <c r="F43" s="345">
        <f>F39+F30+F20+F41</f>
        <v>208558005.54419708</v>
      </c>
    </row>
    <row r="44" spans="1:6" ht="15" customHeight="1" x14ac:dyDescent="0.3">
      <c r="A44" s="304"/>
      <c r="B44" s="364"/>
      <c r="C44" s="365"/>
      <c r="D44" s="366"/>
      <c r="E44" s="367"/>
      <c r="F44" s="365"/>
    </row>
    <row r="45" spans="1:6" ht="15" customHeight="1" x14ac:dyDescent="0.3">
      <c r="A45" s="294" t="s">
        <v>30</v>
      </c>
      <c r="B45" s="351"/>
      <c r="C45" s="352"/>
      <c r="D45" s="353"/>
      <c r="E45" s="354"/>
      <c r="F45" s="352"/>
    </row>
    <row r="46" spans="1:6" ht="15" customHeight="1" x14ac:dyDescent="0.3">
      <c r="A46" s="305"/>
      <c r="B46" s="351"/>
      <c r="C46" s="352"/>
      <c r="D46" s="353"/>
      <c r="E46" s="354"/>
      <c r="F46" s="352"/>
    </row>
    <row r="47" spans="1:6" ht="15" customHeight="1" x14ac:dyDescent="0.3">
      <c r="A47" s="294" t="s">
        <v>31</v>
      </c>
      <c r="B47" s="340"/>
      <c r="C47" s="341"/>
      <c r="D47" s="342"/>
      <c r="E47" s="343"/>
      <c r="F47" s="341"/>
    </row>
    <row r="48" spans="1:6" ht="15" customHeight="1" x14ac:dyDescent="0.3">
      <c r="A48" s="278" t="s">
        <v>32</v>
      </c>
      <c r="B48" s="802">
        <v>2364837.6</v>
      </c>
      <c r="C48" s="802">
        <v>2498447.5299999998</v>
      </c>
      <c r="D48" s="802">
        <v>2366738</v>
      </c>
      <c r="E48" s="802">
        <v>1323913.8800000001</v>
      </c>
      <c r="F48" s="802">
        <v>1819405.98</v>
      </c>
    </row>
    <row r="49" spans="1:9" ht="15" customHeight="1" x14ac:dyDescent="0.3">
      <c r="A49" s="306" t="s">
        <v>50</v>
      </c>
      <c r="B49" s="802">
        <v>143082.9</v>
      </c>
      <c r="C49" s="802">
        <v>142201.18</v>
      </c>
      <c r="D49" s="802">
        <v>0</v>
      </c>
      <c r="E49" s="802"/>
      <c r="F49" s="802">
        <v>169165.27</v>
      </c>
    </row>
    <row r="50" spans="1:9" ht="15" customHeight="1" x14ac:dyDescent="0.3">
      <c r="A50" s="306" t="s">
        <v>164</v>
      </c>
      <c r="B50" s="802">
        <v>37809.86</v>
      </c>
      <c r="C50" s="802">
        <v>38023.800000000003</v>
      </c>
      <c r="D50" s="802">
        <v>0</v>
      </c>
      <c r="E50" s="802"/>
      <c r="F50" s="802">
        <v>41492.550000000003</v>
      </c>
    </row>
    <row r="51" spans="1:9" ht="15" customHeight="1" x14ac:dyDescent="0.3">
      <c r="A51" s="306" t="s">
        <v>109</v>
      </c>
      <c r="B51" s="802">
        <v>92428.03</v>
      </c>
      <c r="C51" s="802">
        <v>105198.98</v>
      </c>
      <c r="D51" s="802">
        <v>6483</v>
      </c>
      <c r="E51" s="802">
        <v>0</v>
      </c>
      <c r="F51" s="802">
        <v>173852.65000000002</v>
      </c>
    </row>
    <row r="52" spans="1:9" ht="15" customHeight="1" x14ac:dyDescent="0.3">
      <c r="A52" s="306" t="s">
        <v>33</v>
      </c>
      <c r="B52" s="802">
        <v>34220.05000000001</v>
      </c>
      <c r="C52" s="802">
        <v>42985.35</v>
      </c>
      <c r="D52" s="802"/>
      <c r="E52" s="802">
        <v>140140.46</v>
      </c>
      <c r="F52" s="802">
        <v>97617.67</v>
      </c>
    </row>
    <row r="53" spans="1:9" ht="15" customHeight="1" x14ac:dyDescent="0.3">
      <c r="A53" s="306" t="s">
        <v>34</v>
      </c>
      <c r="B53" s="802">
        <v>0</v>
      </c>
      <c r="C53" s="802">
        <v>514792.61</v>
      </c>
      <c r="D53" s="802"/>
      <c r="E53" s="802">
        <v>13870</v>
      </c>
      <c r="F53" s="802">
        <v>263197.71999999997</v>
      </c>
    </row>
    <row r="54" spans="1:9" ht="15" customHeight="1" x14ac:dyDescent="0.3">
      <c r="A54" s="278" t="s">
        <v>35</v>
      </c>
      <c r="B54" s="802">
        <v>823875.63</v>
      </c>
      <c r="C54" s="802">
        <v>232871.24</v>
      </c>
      <c r="D54" s="802">
        <v>2238410</v>
      </c>
      <c r="E54" s="802">
        <v>2063234.8999999997</v>
      </c>
      <c r="F54" s="802">
        <v>1499512.92</v>
      </c>
    </row>
    <row r="55" spans="1:9" ht="15" customHeight="1" x14ac:dyDescent="0.3">
      <c r="A55" s="278" t="s">
        <v>36</v>
      </c>
      <c r="B55" s="802">
        <v>0</v>
      </c>
      <c r="C55" s="802"/>
      <c r="D55" s="802"/>
      <c r="E55" s="802"/>
      <c r="F55" s="802"/>
    </row>
    <row r="56" spans="1:9" ht="15" customHeight="1" x14ac:dyDescent="0.3">
      <c r="A56" s="279" t="s">
        <v>37</v>
      </c>
      <c r="B56" s="802">
        <v>0</v>
      </c>
      <c r="C56" s="802">
        <v>0</v>
      </c>
      <c r="D56" s="802"/>
      <c r="E56" s="802"/>
      <c r="F56" s="802"/>
    </row>
    <row r="57" spans="1:9" ht="15" customHeight="1" x14ac:dyDescent="0.3">
      <c r="A57" s="299" t="s">
        <v>38</v>
      </c>
      <c r="B57" s="344">
        <f>SUM(B48:B56)</f>
        <v>3496254.0699999994</v>
      </c>
      <c r="C57" s="344">
        <f>SUM(C48:C56)</f>
        <v>3574520.6899999995</v>
      </c>
      <c r="D57" s="344">
        <f>SUM(D48:D56)</f>
        <v>4611631</v>
      </c>
      <c r="E57" s="344">
        <f>SUM(E48:E56)</f>
        <v>3541159.2399999998</v>
      </c>
      <c r="F57" s="345">
        <f>SUM(F48:F56)</f>
        <v>4064244.76</v>
      </c>
    </row>
    <row r="58" spans="1:9" ht="15" customHeight="1" x14ac:dyDescent="0.3">
      <c r="A58" s="307"/>
      <c r="B58" s="347"/>
      <c r="C58" s="348"/>
      <c r="D58" s="349"/>
      <c r="E58" s="350"/>
      <c r="F58" s="348"/>
      <c r="I58" s="325"/>
    </row>
    <row r="59" spans="1:9" ht="15" customHeight="1" x14ac:dyDescent="0.3">
      <c r="A59" s="294" t="s">
        <v>39</v>
      </c>
      <c r="B59" s="351"/>
      <c r="C59" s="352"/>
      <c r="D59" s="353"/>
      <c r="E59" s="354"/>
      <c r="F59" s="352"/>
    </row>
    <row r="60" spans="1:9" ht="15" customHeight="1" x14ac:dyDescent="0.3">
      <c r="A60" s="278" t="s">
        <v>117</v>
      </c>
      <c r="B60" s="802">
        <v>658772.29999999981</v>
      </c>
      <c r="C60" s="802">
        <v>479104</v>
      </c>
      <c r="D60" s="802">
        <v>299436</v>
      </c>
      <c r="E60" s="802">
        <v>214911.44999999987</v>
      </c>
      <c r="F60" s="802">
        <v>0</v>
      </c>
    </row>
    <row r="61" spans="1:9" ht="15" customHeight="1" x14ac:dyDescent="0.3">
      <c r="A61" s="78" t="s">
        <v>40</v>
      </c>
      <c r="B61" s="802">
        <v>58223.000000000087</v>
      </c>
      <c r="C61" s="802">
        <v>14860</v>
      </c>
      <c r="D61" s="802">
        <v>30344567</v>
      </c>
      <c r="E61" s="802">
        <v>30344567.370000005</v>
      </c>
      <c r="F61" s="802">
        <v>29657008.109999999</v>
      </c>
      <c r="I61" s="370"/>
    </row>
    <row r="62" spans="1:9" ht="15" customHeight="1" x14ac:dyDescent="0.3">
      <c r="A62" s="280"/>
      <c r="B62" s="360"/>
      <c r="C62" s="355"/>
      <c r="D62" s="361"/>
      <c r="E62" s="362"/>
      <c r="F62" s="355"/>
    </row>
    <row r="63" spans="1:9" ht="15" customHeight="1" x14ac:dyDescent="0.3">
      <c r="A63" s="299" t="s">
        <v>41</v>
      </c>
      <c r="B63" s="344">
        <f>SUM(B60:B61)</f>
        <v>716995.29999999993</v>
      </c>
      <c r="C63" s="344">
        <f>SUM(C60:C61)</f>
        <v>493964</v>
      </c>
      <c r="D63" s="344">
        <f>SUM(D60:D61)</f>
        <v>30644003</v>
      </c>
      <c r="E63" s="344">
        <f>SUM(E60:E61)</f>
        <v>30559478.820000004</v>
      </c>
      <c r="F63" s="345">
        <f>SUM(F60:F61)</f>
        <v>29657008.109999999</v>
      </c>
    </row>
    <row r="64" spans="1:9" ht="15" customHeight="1" x14ac:dyDescent="0.3">
      <c r="A64" s="307"/>
      <c r="B64" s="347"/>
      <c r="C64" s="348"/>
      <c r="D64" s="349"/>
      <c r="E64" s="350"/>
      <c r="F64" s="348"/>
    </row>
    <row r="65" spans="1:6" ht="15" customHeight="1" x14ac:dyDescent="0.3">
      <c r="A65" s="294" t="s">
        <v>42</v>
      </c>
      <c r="B65" s="351"/>
      <c r="C65" s="352"/>
      <c r="D65" s="353"/>
      <c r="E65" s="354"/>
      <c r="F65" s="352"/>
    </row>
    <row r="66" spans="1:6" ht="15" customHeight="1" x14ac:dyDescent="0.3">
      <c r="A66" s="278" t="s">
        <v>43</v>
      </c>
      <c r="B66" s="802">
        <v>8222994.7400000002</v>
      </c>
      <c r="C66" s="802">
        <v>8222994.7400000002</v>
      </c>
      <c r="D66" s="802">
        <v>8222994.7400000002</v>
      </c>
      <c r="E66" s="802">
        <v>16606814.375740001</v>
      </c>
      <c r="F66" s="802">
        <v>16606814.375740001</v>
      </c>
    </row>
    <row r="67" spans="1:6" ht="15" customHeight="1" x14ac:dyDescent="0.3">
      <c r="A67" s="278" t="s">
        <v>44</v>
      </c>
      <c r="B67" s="802">
        <v>0</v>
      </c>
      <c r="C67" s="802">
        <v>0</v>
      </c>
      <c r="D67" s="802">
        <v>0</v>
      </c>
      <c r="E67" s="802"/>
      <c r="F67" s="802"/>
    </row>
    <row r="68" spans="1:6" ht="15" customHeight="1" x14ac:dyDescent="0.3">
      <c r="A68" s="278" t="s">
        <v>45</v>
      </c>
      <c r="B68" s="802">
        <v>0</v>
      </c>
      <c r="C68" s="802">
        <v>0</v>
      </c>
      <c r="D68" s="802">
        <v>133787305.95</v>
      </c>
      <c r="E68" s="802">
        <v>133787305.95</v>
      </c>
      <c r="F68" s="802">
        <v>133787305.95</v>
      </c>
    </row>
    <row r="69" spans="1:6" ht="15" customHeight="1" x14ac:dyDescent="0.3">
      <c r="A69" s="279" t="s">
        <v>46</v>
      </c>
      <c r="B69" s="802">
        <v>24382689.821314033</v>
      </c>
      <c r="C69" s="802">
        <v>30060391</v>
      </c>
      <c r="D69" s="802">
        <v>33755187.450000003</v>
      </c>
      <c r="E69" s="802">
        <v>26874661.25426</v>
      </c>
      <c r="F69" s="802">
        <v>24442632.34426</v>
      </c>
    </row>
    <row r="70" spans="1:6" ht="15" customHeight="1" x14ac:dyDescent="0.3">
      <c r="A70" s="299" t="s">
        <v>47</v>
      </c>
      <c r="B70" s="344">
        <f>SUM(B66:B69)</f>
        <v>32605684.561314031</v>
      </c>
      <c r="C70" s="344">
        <f>SUM(C66:C69)</f>
        <v>38283385.740000002</v>
      </c>
      <c r="D70" s="344">
        <f>SUM(D66:D69)</f>
        <v>175765488.13999999</v>
      </c>
      <c r="E70" s="344">
        <f>SUM(E66:E69)</f>
        <v>177268781.58000001</v>
      </c>
      <c r="F70" s="345">
        <f>SUM(F66:F69)</f>
        <v>174836752.67000002</v>
      </c>
    </row>
    <row r="71" spans="1:6" ht="15.75" customHeight="1" x14ac:dyDescent="0.3">
      <c r="A71" s="308"/>
      <c r="B71" s="372"/>
      <c r="C71" s="373"/>
      <c r="D71" s="374"/>
      <c r="E71" s="375"/>
      <c r="F71" s="373"/>
    </row>
    <row r="72" spans="1:6" ht="16.5" customHeight="1" thickBot="1" x14ac:dyDescent="0.35">
      <c r="A72" s="309" t="s">
        <v>48</v>
      </c>
      <c r="B72" s="376">
        <f>B70+B63+B57</f>
        <v>36818933.931314029</v>
      </c>
      <c r="C72" s="376">
        <f>C70+C63+C57</f>
        <v>42351870.43</v>
      </c>
      <c r="D72" s="376">
        <f>D70+D63+D57</f>
        <v>211021122.13999999</v>
      </c>
      <c r="E72" s="376">
        <f>E70+E63+E57</f>
        <v>211369419.64000002</v>
      </c>
      <c r="F72" s="377">
        <f>F70+F63+F57</f>
        <v>208558005.54000002</v>
      </c>
    </row>
    <row r="76" spans="1:6" ht="15.75" customHeight="1" x14ac:dyDescent="0.3">
      <c r="A76" s="1676"/>
      <c r="B76" s="673"/>
      <c r="C76" s="673"/>
      <c r="D76" s="673"/>
      <c r="E76" s="673"/>
      <c r="F76" s="673"/>
    </row>
    <row r="77" spans="1:6" ht="15.75" customHeight="1" x14ac:dyDescent="0.3">
      <c r="A77"/>
      <c r="B77" s="673"/>
      <c r="C77" s="673"/>
      <c r="D77" s="673"/>
      <c r="E77" s="673"/>
      <c r="F77" s="673"/>
    </row>
    <row r="78" spans="1:6" ht="15.75" customHeight="1" x14ac:dyDescent="0.3">
      <c r="A78"/>
      <c r="B78" s="673"/>
      <c r="C78" s="673"/>
      <c r="D78" s="673"/>
      <c r="E78" s="673"/>
      <c r="F78" s="673"/>
    </row>
    <row r="79" spans="1:6" ht="15.75" customHeight="1" x14ac:dyDescent="0.3">
      <c r="A79"/>
      <c r="B79" s="673"/>
      <c r="C79" s="673"/>
      <c r="D79" s="673"/>
      <c r="E79" s="673"/>
      <c r="F79" s="673"/>
    </row>
  </sheetData>
  <sheetProtection algorithmName="SHA-512" hashValue="MFQjzhzYfQIl7VzIyBf+R4U7IWynO/PCD+F15yO3ctMZCqZ5dqLqOWjUN5w+t37rnTU6RDntyqgwHa4TMVrLPA==" saltValue="T+yqTbREh20vylO6YJK0iA==" spinCount="100000" sheet="1" objects="1" scenarios="1"/>
  <mergeCells count="6">
    <mergeCell ref="A7:F7"/>
    <mergeCell ref="A1:F1"/>
    <mergeCell ref="A3:F3"/>
    <mergeCell ref="A4:F4"/>
    <mergeCell ref="A5:F5"/>
    <mergeCell ref="A6:F6"/>
  </mergeCells>
  <pageMargins left="0.7" right="0.7" top="0.75" bottom="0.75" header="0.3" footer="0.3"/>
  <pageSetup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G83"/>
  <sheetViews>
    <sheetView view="pageBreakPreview" zoomScale="70" zoomScaleNormal="60" zoomScaleSheetLayoutView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O16" sqref="O16"/>
    </sheetView>
  </sheetViews>
  <sheetFormatPr defaultRowHeight="18.75" x14ac:dyDescent="0.3"/>
  <cols>
    <col min="1" max="1" width="63.140625" style="46" customWidth="1"/>
    <col min="2" max="3" width="14.140625" style="379" customWidth="1"/>
    <col min="4" max="4" width="13.140625" style="379" customWidth="1"/>
    <col min="5" max="5" width="14.28515625" style="276" customWidth="1"/>
    <col min="6" max="6" width="1" style="46" customWidth="1"/>
    <col min="7" max="7" width="14.5703125" style="379" customWidth="1"/>
    <col min="8" max="8" width="14.28515625" style="379" customWidth="1"/>
    <col min="9" max="9" width="12.140625" style="379" customWidth="1"/>
    <col min="10" max="10" width="10.7109375" style="276" customWidth="1"/>
    <col min="11" max="11" width="1.140625" style="46" customWidth="1"/>
    <col min="12" max="12" width="14" style="379" customWidth="1"/>
    <col min="13" max="13" width="14.140625" style="379" customWidth="1"/>
    <col min="14" max="14" width="12.85546875" style="379" customWidth="1"/>
    <col min="15" max="15" width="9" style="277" customWidth="1"/>
    <col min="16" max="16" width="1" style="46" customWidth="1"/>
    <col min="17" max="17" width="13.85546875" style="379" customWidth="1"/>
    <col min="18" max="18" width="17.140625" style="379" customWidth="1"/>
    <col min="19" max="19" width="12.85546875" style="379" customWidth="1"/>
    <col min="20" max="20" width="9.85546875" style="277" customWidth="1"/>
    <col min="21" max="21" width="1.28515625" style="46" customWidth="1"/>
    <col min="22" max="22" width="14.28515625" style="379" customWidth="1"/>
    <col min="23" max="23" width="14.140625" style="379" customWidth="1"/>
    <col min="24" max="24" width="13" style="379" customWidth="1"/>
    <col min="25" max="25" width="15.85546875" style="277" customWidth="1"/>
    <col min="26" max="26" width="1" style="46" customWidth="1"/>
    <col min="27" max="27" width="16.28515625" style="379" customWidth="1"/>
    <col min="28" max="28" width="13.7109375" style="379" customWidth="1"/>
    <col min="29" max="29" width="13.42578125" style="277" customWidth="1"/>
    <col min="30" max="30" width="1" style="46" customWidth="1"/>
    <col min="31" max="31" width="66.42578125" style="46" customWidth="1"/>
    <col min="32" max="16384" width="9.140625" style="46"/>
  </cols>
  <sheetData>
    <row r="1" spans="1:31" x14ac:dyDescent="0.3">
      <c r="A1" s="1749" t="s">
        <v>49</v>
      </c>
      <c r="B1" s="1750"/>
      <c r="C1" s="1750"/>
      <c r="D1" s="1750"/>
      <c r="E1" s="1750"/>
      <c r="F1" s="1750"/>
      <c r="G1" s="1750"/>
      <c r="H1" s="1750"/>
      <c r="I1" s="380"/>
      <c r="J1" s="84"/>
      <c r="K1" s="85"/>
      <c r="L1" s="381"/>
      <c r="M1" s="381"/>
      <c r="N1" s="381"/>
      <c r="O1" s="87"/>
      <c r="P1" s="116"/>
      <c r="Q1" s="380"/>
      <c r="R1" s="382"/>
      <c r="S1" s="394"/>
      <c r="T1" s="89"/>
      <c r="U1" s="116"/>
      <c r="V1" s="395"/>
      <c r="W1" s="395"/>
      <c r="X1" s="395"/>
      <c r="Y1" s="119"/>
      <c r="Z1" s="116"/>
      <c r="AA1" s="395"/>
      <c r="AB1" s="395"/>
      <c r="AC1" s="119"/>
      <c r="AD1" s="116"/>
      <c r="AE1" s="120"/>
    </row>
    <row r="2" spans="1:31" x14ac:dyDescent="0.3">
      <c r="A2" s="121"/>
      <c r="B2" s="383"/>
      <c r="C2" s="383"/>
      <c r="D2" s="383"/>
      <c r="E2" s="91"/>
      <c r="F2" s="92"/>
      <c r="G2" s="383"/>
      <c r="H2" s="383"/>
      <c r="I2" s="383"/>
      <c r="J2" s="91"/>
      <c r="K2" s="93"/>
      <c r="L2" s="327"/>
      <c r="M2" s="327"/>
      <c r="N2" s="327"/>
      <c r="O2" s="94"/>
      <c r="P2" s="93"/>
      <c r="Q2" s="383"/>
      <c r="R2" s="384"/>
      <c r="S2" s="396"/>
      <c r="T2" s="96"/>
      <c r="U2" s="93"/>
      <c r="V2" s="397"/>
      <c r="W2" s="397"/>
      <c r="X2" s="397"/>
      <c r="Y2" s="124"/>
      <c r="Z2" s="93"/>
      <c r="AA2" s="397"/>
      <c r="AB2" s="397"/>
      <c r="AC2" s="124"/>
      <c r="AD2" s="93"/>
      <c r="AE2" s="125"/>
    </row>
    <row r="3" spans="1:31" s="49" customFormat="1" x14ac:dyDescent="0.3">
      <c r="A3" s="1751" t="s">
        <v>173</v>
      </c>
      <c r="B3" s="1752"/>
      <c r="C3" s="1752"/>
      <c r="D3" s="1752"/>
      <c r="E3" s="1752"/>
      <c r="F3" s="1752"/>
      <c r="G3" s="1752"/>
      <c r="H3" s="1752"/>
      <c r="I3" s="385"/>
      <c r="J3" s="98"/>
      <c r="K3" s="99"/>
      <c r="L3" s="386"/>
      <c r="M3" s="386"/>
      <c r="N3" s="386"/>
      <c r="O3" s="101"/>
      <c r="P3" s="126"/>
      <c r="Q3" s="385"/>
      <c r="R3" s="387"/>
      <c r="S3" s="393"/>
      <c r="T3" s="103"/>
      <c r="U3" s="126"/>
      <c r="V3" s="398"/>
      <c r="W3" s="398"/>
      <c r="X3" s="398"/>
      <c r="Y3" s="128"/>
      <c r="Z3" s="126"/>
      <c r="AA3" s="398"/>
      <c r="AB3" s="398"/>
      <c r="AC3" s="128"/>
      <c r="AD3" s="126"/>
      <c r="AE3" s="129"/>
    </row>
    <row r="4" spans="1:31" x14ac:dyDescent="0.3">
      <c r="A4" s="1753" t="s">
        <v>51</v>
      </c>
      <c r="B4" s="1754"/>
      <c r="C4" s="1754"/>
      <c r="D4" s="1754"/>
      <c r="E4" s="1754"/>
      <c r="F4" s="1754"/>
      <c r="G4" s="1754"/>
      <c r="H4" s="1754"/>
      <c r="I4" s="383"/>
      <c r="J4" s="91"/>
      <c r="K4" s="104"/>
      <c r="L4" s="388"/>
      <c r="M4" s="388"/>
      <c r="N4" s="388"/>
      <c r="O4" s="106"/>
      <c r="P4" s="130"/>
      <c r="Q4" s="389"/>
      <c r="R4" s="390"/>
      <c r="S4" s="396"/>
      <c r="T4" s="109"/>
      <c r="U4" s="130"/>
      <c r="V4" s="397"/>
      <c r="W4" s="397"/>
      <c r="X4" s="397"/>
      <c r="Y4" s="124"/>
      <c r="Z4" s="130"/>
      <c r="AA4" s="397"/>
      <c r="AB4" s="397"/>
      <c r="AC4" s="124"/>
      <c r="AD4" s="130"/>
      <c r="AE4" s="125"/>
    </row>
    <row r="5" spans="1:31" x14ac:dyDescent="0.3">
      <c r="A5" s="1753" t="s">
        <v>52</v>
      </c>
      <c r="B5" s="1755"/>
      <c r="C5" s="1755"/>
      <c r="D5" s="1755"/>
      <c r="E5" s="1755"/>
      <c r="F5" s="1755"/>
      <c r="G5" s="1755"/>
      <c r="H5" s="1755"/>
      <c r="I5" s="383"/>
      <c r="J5" s="91"/>
      <c r="K5" s="104"/>
      <c r="L5" s="388"/>
      <c r="M5" s="388"/>
      <c r="N5" s="388"/>
      <c r="O5" s="106"/>
      <c r="P5" s="130"/>
      <c r="Q5" s="389"/>
      <c r="R5" s="390"/>
      <c r="S5" s="396"/>
      <c r="T5" s="109"/>
      <c r="U5" s="130"/>
      <c r="V5" s="397"/>
      <c r="W5" s="397"/>
      <c r="X5" s="397"/>
      <c r="Y5" s="124"/>
      <c r="Z5" s="130"/>
      <c r="AA5" s="397"/>
      <c r="AB5" s="397"/>
      <c r="AC5" s="124"/>
      <c r="AD5" s="130"/>
      <c r="AE5" s="125"/>
    </row>
    <row r="6" spans="1:31" s="49" customFormat="1" x14ac:dyDescent="0.3">
      <c r="A6" s="1751" t="s">
        <v>191</v>
      </c>
      <c r="B6" s="1771"/>
      <c r="C6" s="1771"/>
      <c r="D6" s="1771"/>
      <c r="E6" s="1771"/>
      <c r="F6" s="1771"/>
      <c r="G6" s="1771"/>
      <c r="H6" s="1771"/>
      <c r="I6" s="385"/>
      <c r="J6" s="98"/>
      <c r="K6" s="110"/>
      <c r="L6" s="391"/>
      <c r="M6" s="391"/>
      <c r="N6" s="391"/>
      <c r="O6" s="112"/>
      <c r="P6" s="126"/>
      <c r="Q6" s="392"/>
      <c r="R6" s="393"/>
      <c r="S6" s="393"/>
      <c r="T6" s="115"/>
      <c r="U6" s="126"/>
      <c r="V6" s="398"/>
      <c r="W6" s="398"/>
      <c r="X6" s="398"/>
      <c r="Y6" s="128"/>
      <c r="Z6" s="126"/>
      <c r="AA6" s="386"/>
      <c r="AB6" s="386"/>
      <c r="AC6" s="128"/>
      <c r="AD6" s="126"/>
      <c r="AE6" s="129"/>
    </row>
    <row r="7" spans="1:31" s="49" customFormat="1" x14ac:dyDescent="0.3">
      <c r="A7" s="1747" t="s">
        <v>2</v>
      </c>
      <c r="B7" s="1748"/>
      <c r="C7" s="1748"/>
      <c r="D7" s="1748"/>
      <c r="E7" s="1748"/>
      <c r="F7" s="1748"/>
      <c r="G7" s="1748"/>
      <c r="H7" s="1748"/>
      <c r="I7" s="385"/>
      <c r="J7" s="98"/>
      <c r="K7" s="110"/>
      <c r="L7" s="391"/>
      <c r="M7" s="391"/>
      <c r="N7" s="391"/>
      <c r="O7" s="112"/>
      <c r="P7" s="126"/>
      <c r="Q7" s="392"/>
      <c r="R7" s="393"/>
      <c r="S7" s="393"/>
      <c r="T7" s="115"/>
      <c r="U7" s="126"/>
      <c r="V7" s="398"/>
      <c r="W7" s="398"/>
      <c r="X7" s="398"/>
      <c r="Y7" s="128"/>
      <c r="Z7" s="126"/>
      <c r="AA7" s="398"/>
      <c r="AB7" s="398"/>
      <c r="AC7" s="128"/>
      <c r="AD7" s="126"/>
      <c r="AE7" s="129"/>
    </row>
    <row r="8" spans="1:31" ht="19.5" thickBot="1" x14ac:dyDescent="0.35">
      <c r="A8" s="467" t="s">
        <v>169</v>
      </c>
      <c r="B8" s="399"/>
      <c r="C8" s="397"/>
      <c r="D8" s="397"/>
      <c r="E8" s="133"/>
      <c r="F8" s="130"/>
      <c r="G8" s="397"/>
      <c r="H8" s="397"/>
      <c r="I8" s="397"/>
      <c r="J8" s="133"/>
      <c r="K8" s="130"/>
      <c r="L8" s="397"/>
      <c r="M8" s="397"/>
      <c r="N8" s="397"/>
      <c r="O8" s="124"/>
      <c r="P8" s="130"/>
      <c r="Q8" s="397"/>
      <c r="R8" s="397"/>
      <c r="S8" s="397"/>
      <c r="T8" s="124"/>
      <c r="U8" s="130"/>
      <c r="V8" s="397"/>
      <c r="W8" s="397"/>
      <c r="X8" s="397"/>
      <c r="Y8" s="124"/>
      <c r="Z8" s="130"/>
      <c r="AA8" s="397"/>
      <c r="AB8" s="397"/>
      <c r="AC8" s="124"/>
      <c r="AD8" s="130"/>
      <c r="AE8" s="125"/>
    </row>
    <row r="9" spans="1:31" x14ac:dyDescent="0.3">
      <c r="A9" s="1251"/>
      <c r="B9" s="1720" t="s">
        <v>53</v>
      </c>
      <c r="C9" s="1717"/>
      <c r="D9" s="1718"/>
      <c r="E9" s="1718"/>
      <c r="F9" s="794"/>
      <c r="G9" s="1716" t="s">
        <v>54</v>
      </c>
      <c r="H9" s="1717"/>
      <c r="I9" s="1717"/>
      <c r="J9" s="1717"/>
      <c r="K9" s="794"/>
      <c r="L9" s="1722" t="s">
        <v>55</v>
      </c>
      <c r="M9" s="1723"/>
      <c r="N9" s="1723"/>
      <c r="O9" s="1724"/>
      <c r="P9" s="1239"/>
      <c r="Q9" s="1725" t="s">
        <v>56</v>
      </c>
      <c r="R9" s="1718"/>
      <c r="S9" s="1718"/>
      <c r="T9" s="1719"/>
      <c r="U9" s="794"/>
      <c r="V9" s="1745" t="s">
        <v>57</v>
      </c>
      <c r="W9" s="1727"/>
      <c r="X9" s="1727"/>
      <c r="Y9" s="1746"/>
      <c r="Z9" s="1239"/>
      <c r="AA9" s="1745" t="s">
        <v>190</v>
      </c>
      <c r="AB9" s="1727"/>
      <c r="AC9" s="1746"/>
      <c r="AD9" s="1238"/>
      <c r="AE9" s="1738" t="s">
        <v>58</v>
      </c>
    </row>
    <row r="10" spans="1:31" ht="37.5" x14ac:dyDescent="0.3">
      <c r="A10" s="1252" t="s">
        <v>59</v>
      </c>
      <c r="B10" s="912" t="s">
        <v>60</v>
      </c>
      <c r="C10" s="400" t="s">
        <v>61</v>
      </c>
      <c r="D10" s="1710" t="s">
        <v>62</v>
      </c>
      <c r="E10" s="1715"/>
      <c r="F10" s="795"/>
      <c r="G10" s="1282" t="s">
        <v>60</v>
      </c>
      <c r="H10" s="400" t="s">
        <v>61</v>
      </c>
      <c r="I10" s="1775" t="s">
        <v>62</v>
      </c>
      <c r="J10" s="1774"/>
      <c r="K10" s="795"/>
      <c r="L10" s="914" t="s">
        <v>60</v>
      </c>
      <c r="M10" s="400" t="s">
        <v>61</v>
      </c>
      <c r="N10" s="1712" t="s">
        <v>62</v>
      </c>
      <c r="O10" s="1713"/>
      <c r="P10" s="139"/>
      <c r="Q10" s="401" t="s">
        <v>60</v>
      </c>
      <c r="R10" s="402" t="s">
        <v>61</v>
      </c>
      <c r="S10" s="1714" t="s">
        <v>62</v>
      </c>
      <c r="T10" s="1711"/>
      <c r="U10" s="795"/>
      <c r="V10" s="401" t="s">
        <v>60</v>
      </c>
      <c r="W10" s="402" t="s">
        <v>61</v>
      </c>
      <c r="X10" s="1714" t="s">
        <v>62</v>
      </c>
      <c r="Y10" s="1711"/>
      <c r="Z10" s="139"/>
      <c r="AA10" s="403" t="s">
        <v>63</v>
      </c>
      <c r="AB10" s="1714" t="s">
        <v>64</v>
      </c>
      <c r="AC10" s="1711"/>
      <c r="AD10" s="1169"/>
      <c r="AE10" s="1739"/>
    </row>
    <row r="11" spans="1:31" x14ac:dyDescent="0.3">
      <c r="A11" s="1253"/>
      <c r="B11" s="1158" t="s">
        <v>107</v>
      </c>
      <c r="C11" s="404" t="s">
        <v>107</v>
      </c>
      <c r="D11" s="1159" t="s">
        <v>107</v>
      </c>
      <c r="E11" s="1275" t="s">
        <v>65</v>
      </c>
      <c r="F11" s="796"/>
      <c r="G11" s="1159" t="s">
        <v>107</v>
      </c>
      <c r="H11" s="404" t="s">
        <v>107</v>
      </c>
      <c r="I11" s="1159" t="s">
        <v>107</v>
      </c>
      <c r="J11" s="1275" t="s">
        <v>65</v>
      </c>
      <c r="K11" s="796"/>
      <c r="L11" s="913" t="s">
        <v>107</v>
      </c>
      <c r="M11" s="404" t="s">
        <v>107</v>
      </c>
      <c r="N11" s="405" t="s">
        <v>107</v>
      </c>
      <c r="O11" s="152" t="s">
        <v>65</v>
      </c>
      <c r="P11" s="146"/>
      <c r="Q11" s="406" t="s">
        <v>107</v>
      </c>
      <c r="R11" s="407" t="s">
        <v>107</v>
      </c>
      <c r="S11" s="408" t="s">
        <v>107</v>
      </c>
      <c r="T11" s="152" t="s">
        <v>65</v>
      </c>
      <c r="U11" s="796"/>
      <c r="V11" s="946" t="s">
        <v>107</v>
      </c>
      <c r="W11" s="407" t="s">
        <v>107</v>
      </c>
      <c r="X11" s="408" t="s">
        <v>107</v>
      </c>
      <c r="Y11" s="152" t="s">
        <v>65</v>
      </c>
      <c r="Z11" s="146"/>
      <c r="AA11" s="406" t="s">
        <v>107</v>
      </c>
      <c r="AB11" s="408" t="s">
        <v>107</v>
      </c>
      <c r="AC11" s="152" t="s">
        <v>65</v>
      </c>
      <c r="AD11" s="1170"/>
      <c r="AE11" s="1739"/>
    </row>
    <row r="12" spans="1:31" x14ac:dyDescent="0.3">
      <c r="A12" s="1254"/>
      <c r="B12" s="1004"/>
      <c r="C12" s="409"/>
      <c r="D12" s="410"/>
      <c r="E12" s="921"/>
      <c r="F12" s="797"/>
      <c r="G12" s="560"/>
      <c r="H12" s="409"/>
      <c r="I12" s="411"/>
      <c r="J12" s="921"/>
      <c r="K12" s="797"/>
      <c r="L12" s="915"/>
      <c r="M12" s="409"/>
      <c r="N12" s="410"/>
      <c r="O12" s="729"/>
      <c r="P12" s="917"/>
      <c r="Q12" s="411"/>
      <c r="R12" s="410"/>
      <c r="S12" s="410"/>
      <c r="T12" s="764"/>
      <c r="U12" s="962"/>
      <c r="V12" s="411"/>
      <c r="W12" s="410"/>
      <c r="X12" s="410"/>
      <c r="Y12" s="729"/>
      <c r="Z12" s="156"/>
      <c r="AA12" s="728"/>
      <c r="AB12" s="410"/>
      <c r="AC12" s="729"/>
      <c r="AD12" s="1171"/>
      <c r="AE12" s="1317"/>
    </row>
    <row r="13" spans="1:31" x14ac:dyDescent="0.3">
      <c r="A13" s="1256" t="s">
        <v>66</v>
      </c>
      <c r="B13" s="413"/>
      <c r="C13" s="412"/>
      <c r="D13" s="412"/>
      <c r="E13" s="890"/>
      <c r="F13" s="781"/>
      <c r="G13" s="327"/>
      <c r="H13" s="412"/>
      <c r="I13" s="908"/>
      <c r="J13" s="890"/>
      <c r="K13" s="781"/>
      <c r="L13" s="908"/>
      <c r="M13" s="412"/>
      <c r="N13" s="412"/>
      <c r="O13" s="730"/>
      <c r="P13" s="909"/>
      <c r="Q13" s="908"/>
      <c r="R13" s="412"/>
      <c r="S13" s="412"/>
      <c r="T13" s="765"/>
      <c r="U13" s="781"/>
      <c r="V13" s="908"/>
      <c r="W13" s="412"/>
      <c r="X13" s="412"/>
      <c r="Y13" s="765"/>
      <c r="Z13" s="950"/>
      <c r="AA13" s="908"/>
      <c r="AB13" s="412"/>
      <c r="AC13" s="730"/>
      <c r="AD13" s="1168"/>
      <c r="AE13" s="1318"/>
    </row>
    <row r="14" spans="1:31" x14ac:dyDescent="0.3">
      <c r="A14" s="1106" t="s">
        <v>132</v>
      </c>
      <c r="B14" s="414">
        <v>6838091.1999999983</v>
      </c>
      <c r="C14" s="415">
        <v>6940464.7299999958</v>
      </c>
      <c r="D14" s="416">
        <f>C14-B14</f>
        <v>102373.52999999747</v>
      </c>
      <c r="E14" s="922">
        <f>IF(ISERROR(D14/B14),"-",D14/B14)</f>
        <v>1.4971068241967509E-2</v>
      </c>
      <c r="F14" s="782"/>
      <c r="G14" s="397">
        <v>5858174.035007841</v>
      </c>
      <c r="H14" s="416">
        <v>5713295</v>
      </c>
      <c r="I14" s="604">
        <f>H14-G14</f>
        <v>-144879.03500784095</v>
      </c>
      <c r="J14" s="922">
        <f t="shared" ref="J14:J25" si="0">IF(ISERROR(I14/G14),"-",I14/G14)</f>
        <v>-2.473109097511594E-2</v>
      </c>
      <c r="K14" s="782"/>
      <c r="L14" s="567">
        <v>4049325.6006287993</v>
      </c>
      <c r="M14" s="415">
        <v>4078677.4699999997</v>
      </c>
      <c r="N14" s="416">
        <f>M14-L14</f>
        <v>29351.869371200446</v>
      </c>
      <c r="O14" s="731">
        <f t="shared" ref="O14:O25" si="1">IF(ISERROR(N14/L14),"-",N14/L14)</f>
        <v>7.2485821754226295E-3</v>
      </c>
      <c r="P14" s="166"/>
      <c r="Q14" s="414">
        <v>5004331.3999999994</v>
      </c>
      <c r="R14" s="415">
        <v>5117782.6599999983</v>
      </c>
      <c r="S14" s="416">
        <f t="shared" ref="S14:S23" si="2">R14-Q14</f>
        <v>113451.25999999885</v>
      </c>
      <c r="T14" s="731">
        <f t="shared" ref="T14:T29" si="3">IF(ISERROR(S14/Q14),"-",S14/Q14)</f>
        <v>2.26706129014555E-2</v>
      </c>
      <c r="U14" s="782"/>
      <c r="V14" s="417">
        <f>B14+G14+L14+Q14</f>
        <v>21749922.235636637</v>
      </c>
      <c r="W14" s="416">
        <f>C14+H14+M14+R14</f>
        <v>21850219.859999992</v>
      </c>
      <c r="X14" s="416">
        <f>W14-V14</f>
        <v>100297.62436335534</v>
      </c>
      <c r="Y14" s="731">
        <f t="shared" ref="Y14:Y25" si="4">IF(ISERROR(X14/V14),"-",X14/V14)</f>
        <v>4.6114015156808472E-3</v>
      </c>
      <c r="Z14" s="169"/>
      <c r="AA14" s="992">
        <v>20752590</v>
      </c>
      <c r="AB14" s="416">
        <f>AA14-W14</f>
        <v>-1097629.859999992</v>
      </c>
      <c r="AC14" s="731">
        <f t="shared" ref="AC14:AC27" si="5">IF(ISERROR(AB14/AA14),"-",AB14/AA14)</f>
        <v>-5.289122273412581E-2</v>
      </c>
      <c r="AD14" s="1162"/>
      <c r="AE14" s="1180"/>
    </row>
    <row r="15" spans="1:31" x14ac:dyDescent="0.3">
      <c r="A15" s="1096" t="s">
        <v>111</v>
      </c>
      <c r="B15" s="414">
        <v>3202351.3</v>
      </c>
      <c r="C15" s="415">
        <v>3115826.2</v>
      </c>
      <c r="D15" s="416">
        <f t="shared" ref="D15:D24" si="6">C15-B15</f>
        <v>-86525.099999999627</v>
      </c>
      <c r="E15" s="922">
        <f t="shared" ref="E15:E25" si="7">IF(ISERROR(D15/B15),"-",D15/B15)</f>
        <v>-2.7019240518677521E-2</v>
      </c>
      <c r="F15" s="782"/>
      <c r="G15" s="397">
        <v>2429286.4274212345</v>
      </c>
      <c r="H15" s="416">
        <v>2409838</v>
      </c>
      <c r="I15" s="604">
        <f t="shared" ref="I15:I24" si="8">H15-G15</f>
        <v>-19448.427421234548</v>
      </c>
      <c r="J15" s="922">
        <f t="shared" si="0"/>
        <v>-8.0058189934727776E-3</v>
      </c>
      <c r="K15" s="782"/>
      <c r="L15" s="567">
        <v>1890803.7245599998</v>
      </c>
      <c r="M15" s="415">
        <v>1916387.6900000004</v>
      </c>
      <c r="N15" s="416">
        <f t="shared" ref="N15:N23" si="9">M15-L15</f>
        <v>25583.96544000064</v>
      </c>
      <c r="O15" s="731">
        <f>IF(ISERROR(N15/L15),"-",N15/L15)</f>
        <v>1.3530735690693737E-2</v>
      </c>
      <c r="P15" s="166"/>
      <c r="Q15" s="414">
        <v>2537359.7999999998</v>
      </c>
      <c r="R15" s="415">
        <v>2780215.5199999996</v>
      </c>
      <c r="S15" s="416">
        <f t="shared" si="2"/>
        <v>242855.71999999974</v>
      </c>
      <c r="T15" s="731">
        <f t="shared" si="3"/>
        <v>9.5711975889268747E-2</v>
      </c>
      <c r="U15" s="782"/>
      <c r="V15" s="417">
        <f t="shared" ref="V15:W24" si="10">B15+G15+L15+Q15</f>
        <v>10059801.251981234</v>
      </c>
      <c r="W15" s="416">
        <f t="shared" si="10"/>
        <v>10222267.41</v>
      </c>
      <c r="X15" s="416">
        <f t="shared" ref="X15:X24" si="11">W15-V15</f>
        <v>162466.15801876597</v>
      </c>
      <c r="Y15" s="731">
        <f t="shared" si="4"/>
        <v>1.6150036561285837E-2</v>
      </c>
      <c r="Z15" s="169"/>
      <c r="AA15" s="417">
        <v>10652649</v>
      </c>
      <c r="AB15" s="416">
        <f t="shared" ref="AB15:AB24" si="12">AA15-W15</f>
        <v>430381.58999999985</v>
      </c>
      <c r="AC15" s="731">
        <f t="shared" si="5"/>
        <v>4.0401367772466723E-2</v>
      </c>
      <c r="AD15" s="1162"/>
      <c r="AE15" s="1180"/>
    </row>
    <row r="16" spans="1:31" x14ac:dyDescent="0.3">
      <c r="A16" s="1096" t="s">
        <v>69</v>
      </c>
      <c r="B16" s="414">
        <v>0</v>
      </c>
      <c r="C16" s="415">
        <v>0</v>
      </c>
      <c r="D16" s="416">
        <f t="shared" si="6"/>
        <v>0</v>
      </c>
      <c r="E16" s="922" t="str">
        <f t="shared" si="7"/>
        <v>-</v>
      </c>
      <c r="F16" s="783"/>
      <c r="G16" s="397">
        <v>0</v>
      </c>
      <c r="H16" s="416">
        <v>0</v>
      </c>
      <c r="I16" s="604">
        <f t="shared" si="8"/>
        <v>0</v>
      </c>
      <c r="J16" s="922" t="str">
        <f>IF(ISERROR(I16/G16),"-",I16/G16)</f>
        <v>-</v>
      </c>
      <c r="K16" s="783"/>
      <c r="L16" s="567">
        <v>0</v>
      </c>
      <c r="M16" s="415">
        <v>0</v>
      </c>
      <c r="N16" s="416">
        <f t="shared" si="9"/>
        <v>0</v>
      </c>
      <c r="O16" s="731" t="str">
        <f t="shared" si="1"/>
        <v>-</v>
      </c>
      <c r="P16" s="171"/>
      <c r="Q16" s="414">
        <v>0</v>
      </c>
      <c r="R16" s="415">
        <v>0</v>
      </c>
      <c r="S16" s="416">
        <f t="shared" si="2"/>
        <v>0</v>
      </c>
      <c r="T16" s="731" t="str">
        <f t="shared" si="3"/>
        <v>-</v>
      </c>
      <c r="U16" s="783"/>
      <c r="V16" s="417">
        <f t="shared" si="10"/>
        <v>0</v>
      </c>
      <c r="W16" s="416">
        <f t="shared" si="10"/>
        <v>0</v>
      </c>
      <c r="X16" s="416">
        <f t="shared" si="11"/>
        <v>0</v>
      </c>
      <c r="Y16" s="731" t="str">
        <f t="shared" si="4"/>
        <v>-</v>
      </c>
      <c r="Z16" s="169"/>
      <c r="AA16" s="417">
        <v>0</v>
      </c>
      <c r="AB16" s="416">
        <f t="shared" si="12"/>
        <v>0</v>
      </c>
      <c r="AC16" s="731" t="str">
        <f t="shared" si="5"/>
        <v>-</v>
      </c>
      <c r="AD16" s="1163"/>
      <c r="AE16" s="1182"/>
    </row>
    <row r="17" spans="1:33" x14ac:dyDescent="0.3">
      <c r="A17" s="1096" t="s">
        <v>68</v>
      </c>
      <c r="B17" s="414">
        <v>63226.76</v>
      </c>
      <c r="C17" s="415">
        <v>82671</v>
      </c>
      <c r="D17" s="416">
        <f t="shared" si="6"/>
        <v>19444.239999999998</v>
      </c>
      <c r="E17" s="922">
        <f t="shared" si="7"/>
        <v>0.30753181089779069</v>
      </c>
      <c r="F17" s="782"/>
      <c r="G17" s="397">
        <v>62049.91</v>
      </c>
      <c r="H17" s="416">
        <v>81105</v>
      </c>
      <c r="I17" s="604">
        <f t="shared" si="8"/>
        <v>19055.089999999997</v>
      </c>
      <c r="J17" s="922">
        <f t="shared" si="0"/>
        <v>0.30709295146439369</v>
      </c>
      <c r="K17" s="782"/>
      <c r="L17" s="397">
        <v>85714.28</v>
      </c>
      <c r="M17" s="416">
        <v>84742.37</v>
      </c>
      <c r="N17" s="416">
        <f t="shared" si="9"/>
        <v>-971.91000000000349</v>
      </c>
      <c r="O17" s="731">
        <f t="shared" si="1"/>
        <v>-1.1338950755930092E-2</v>
      </c>
      <c r="P17" s="166"/>
      <c r="Q17" s="414">
        <v>112960.57</v>
      </c>
      <c r="R17" s="415">
        <v>76162.860000000015</v>
      </c>
      <c r="S17" s="416">
        <f t="shared" si="2"/>
        <v>-36797.709999999992</v>
      </c>
      <c r="T17" s="731">
        <f t="shared" si="3"/>
        <v>-0.32575712038280252</v>
      </c>
      <c r="U17" s="782"/>
      <c r="V17" s="417">
        <f t="shared" si="10"/>
        <v>323951.52</v>
      </c>
      <c r="W17" s="416">
        <f>C17+H17+M17+R17</f>
        <v>324681.23</v>
      </c>
      <c r="X17" s="416">
        <f t="shared" si="11"/>
        <v>729.70999999996275</v>
      </c>
      <c r="Y17" s="731">
        <f t="shared" si="4"/>
        <v>2.2525284030152498E-3</v>
      </c>
      <c r="Z17" s="169"/>
      <c r="AA17" s="417">
        <v>494968</v>
      </c>
      <c r="AB17" s="416">
        <f t="shared" si="12"/>
        <v>170286.77000000002</v>
      </c>
      <c r="AC17" s="731">
        <f t="shared" si="5"/>
        <v>0.34403591747345286</v>
      </c>
      <c r="AD17" s="1162"/>
      <c r="AE17" s="1180"/>
    </row>
    <row r="18" spans="1:33" x14ac:dyDescent="0.3">
      <c r="A18" s="1096" t="s">
        <v>71</v>
      </c>
      <c r="B18" s="414">
        <v>73465.69</v>
      </c>
      <c r="C18" s="415">
        <v>48445.889999999992</v>
      </c>
      <c r="D18" s="416">
        <f t="shared" si="6"/>
        <v>-25019.80000000001</v>
      </c>
      <c r="E18" s="922">
        <f t="shared" si="7"/>
        <v>-0.34056441857416719</v>
      </c>
      <c r="F18" s="782"/>
      <c r="G18" s="397">
        <v>91304.54</v>
      </c>
      <c r="H18" s="416">
        <v>26724.65</v>
      </c>
      <c r="I18" s="604">
        <f t="shared" si="8"/>
        <v>-64579.889999999992</v>
      </c>
      <c r="J18" s="922">
        <f t="shared" si="0"/>
        <v>-0.70730206844040833</v>
      </c>
      <c r="K18" s="782"/>
      <c r="L18" s="567">
        <v>94309.75</v>
      </c>
      <c r="M18" s="415">
        <v>20324.650000000001</v>
      </c>
      <c r="N18" s="416">
        <f t="shared" si="9"/>
        <v>-73985.100000000006</v>
      </c>
      <c r="O18" s="731">
        <f t="shared" si="1"/>
        <v>-0.78449046890697949</v>
      </c>
      <c r="P18" s="166"/>
      <c r="Q18" s="414">
        <v>107330.05</v>
      </c>
      <c r="R18" s="415">
        <v>893620.46</v>
      </c>
      <c r="S18" s="416">
        <f t="shared" si="2"/>
        <v>786290.40999999992</v>
      </c>
      <c r="T18" s="731">
        <f t="shared" si="3"/>
        <v>7.3259111497665366</v>
      </c>
      <c r="U18" s="782"/>
      <c r="V18" s="417">
        <f t="shared" si="10"/>
        <v>366410.02999999997</v>
      </c>
      <c r="W18" s="416">
        <f t="shared" si="10"/>
        <v>989115.64999999991</v>
      </c>
      <c r="X18" s="416">
        <f t="shared" si="11"/>
        <v>622705.61999999988</v>
      </c>
      <c r="Y18" s="731">
        <f t="shared" si="4"/>
        <v>1.6994775497821386</v>
      </c>
      <c r="Z18" s="169"/>
      <c r="AA18" s="992">
        <v>599877.5</v>
      </c>
      <c r="AB18" s="416">
        <f t="shared" si="12"/>
        <v>-389238.14999999991</v>
      </c>
      <c r="AC18" s="731">
        <f t="shared" si="5"/>
        <v>-0.64886272613992013</v>
      </c>
      <c r="AD18" s="1162"/>
      <c r="AE18" s="1180"/>
    </row>
    <row r="19" spans="1:33" x14ac:dyDescent="0.3">
      <c r="A19" s="1096" t="s">
        <v>188</v>
      </c>
      <c r="B19" s="414">
        <v>240000</v>
      </c>
      <c r="C19" s="415">
        <v>0</v>
      </c>
      <c r="D19" s="416">
        <f t="shared" si="6"/>
        <v>-240000</v>
      </c>
      <c r="E19" s="922">
        <f t="shared" si="7"/>
        <v>-1</v>
      </c>
      <c r="F19" s="782"/>
      <c r="G19" s="397">
        <v>240000</v>
      </c>
      <c r="H19" s="416">
        <v>0</v>
      </c>
      <c r="I19" s="604">
        <f>H19-G19</f>
        <v>-240000</v>
      </c>
      <c r="J19" s="922">
        <f t="shared" si="0"/>
        <v>-1</v>
      </c>
      <c r="K19" s="782"/>
      <c r="L19" s="397">
        <v>240000</v>
      </c>
      <c r="M19" s="904">
        <v>0</v>
      </c>
      <c r="N19" s="416">
        <f t="shared" si="9"/>
        <v>-240000</v>
      </c>
      <c r="O19" s="731">
        <f t="shared" si="1"/>
        <v>-1</v>
      </c>
      <c r="P19" s="166"/>
      <c r="Q19" s="414">
        <v>240000</v>
      </c>
      <c r="R19" s="415">
        <v>314234.40000000002</v>
      </c>
      <c r="S19" s="416">
        <f t="shared" si="2"/>
        <v>74234.400000000023</v>
      </c>
      <c r="T19" s="731">
        <f t="shared" si="3"/>
        <v>0.30931000000000008</v>
      </c>
      <c r="U19" s="782"/>
      <c r="V19" s="417">
        <f t="shared" si="10"/>
        <v>960000</v>
      </c>
      <c r="W19" s="416">
        <f t="shared" si="10"/>
        <v>314234.40000000002</v>
      </c>
      <c r="X19" s="416">
        <f t="shared" si="11"/>
        <v>-645765.6</v>
      </c>
      <c r="Y19" s="731">
        <f t="shared" si="4"/>
        <v>-0.67267250000000001</v>
      </c>
      <c r="Z19" s="169"/>
      <c r="AA19" s="992">
        <v>960000</v>
      </c>
      <c r="AB19" s="416">
        <f t="shared" si="12"/>
        <v>645765.6</v>
      </c>
      <c r="AC19" s="731">
        <f t="shared" si="5"/>
        <v>0.67267250000000001</v>
      </c>
      <c r="AD19" s="1162"/>
      <c r="AE19" s="1180"/>
    </row>
    <row r="20" spans="1:33" x14ac:dyDescent="0.3">
      <c r="A20" s="1260" t="s">
        <v>67</v>
      </c>
      <c r="B20" s="414">
        <v>0</v>
      </c>
      <c r="C20" s="415">
        <v>0</v>
      </c>
      <c r="D20" s="416">
        <f t="shared" si="6"/>
        <v>0</v>
      </c>
      <c r="E20" s="922" t="str">
        <f t="shared" si="7"/>
        <v>-</v>
      </c>
      <c r="F20" s="782"/>
      <c r="G20" s="397">
        <v>0</v>
      </c>
      <c r="H20" s="416">
        <v>0</v>
      </c>
      <c r="I20" s="604">
        <f t="shared" si="8"/>
        <v>0</v>
      </c>
      <c r="J20" s="922" t="str">
        <f t="shared" si="0"/>
        <v>-</v>
      </c>
      <c r="K20" s="782"/>
      <c r="L20" s="397">
        <v>0</v>
      </c>
      <c r="M20" s="904">
        <v>0</v>
      </c>
      <c r="N20" s="416">
        <f t="shared" si="9"/>
        <v>0</v>
      </c>
      <c r="O20" s="731" t="str">
        <f t="shared" si="1"/>
        <v>-</v>
      </c>
      <c r="P20" s="166"/>
      <c r="Q20" s="414">
        <v>0</v>
      </c>
      <c r="R20" s="415">
        <v>0</v>
      </c>
      <c r="S20" s="416">
        <f t="shared" si="2"/>
        <v>0</v>
      </c>
      <c r="T20" s="731" t="str">
        <f t="shared" si="3"/>
        <v>-</v>
      </c>
      <c r="U20" s="782"/>
      <c r="V20" s="417">
        <f t="shared" si="10"/>
        <v>0</v>
      </c>
      <c r="W20" s="416">
        <f>C20+H20+M20+R20</f>
        <v>0</v>
      </c>
      <c r="X20" s="416">
        <f t="shared" si="11"/>
        <v>0</v>
      </c>
      <c r="Y20" s="731" t="str">
        <f t="shared" si="4"/>
        <v>-</v>
      </c>
      <c r="Z20" s="169"/>
      <c r="AA20" s="417">
        <v>0</v>
      </c>
      <c r="AB20" s="416">
        <f t="shared" si="12"/>
        <v>0</v>
      </c>
      <c r="AC20" s="731" t="str">
        <f t="shared" si="5"/>
        <v>-</v>
      </c>
      <c r="AD20" s="1162"/>
      <c r="AE20" s="1180"/>
    </row>
    <row r="21" spans="1:33" x14ac:dyDescent="0.3">
      <c r="A21" s="1106" t="s">
        <v>112</v>
      </c>
      <c r="B21" s="414">
        <v>0</v>
      </c>
      <c r="C21" s="415">
        <v>0</v>
      </c>
      <c r="D21" s="416">
        <f t="shared" si="6"/>
        <v>0</v>
      </c>
      <c r="E21" s="922" t="str">
        <f t="shared" si="7"/>
        <v>-</v>
      </c>
      <c r="F21" s="782"/>
      <c r="G21" s="397">
        <v>0</v>
      </c>
      <c r="H21" s="416">
        <v>0</v>
      </c>
      <c r="I21" s="604">
        <f t="shared" si="8"/>
        <v>0</v>
      </c>
      <c r="J21" s="922" t="str">
        <f t="shared" si="0"/>
        <v>-</v>
      </c>
      <c r="K21" s="782"/>
      <c r="L21" s="397">
        <v>0</v>
      </c>
      <c r="M21" s="904">
        <v>0</v>
      </c>
      <c r="N21" s="416">
        <f t="shared" si="9"/>
        <v>0</v>
      </c>
      <c r="O21" s="731" t="str">
        <f t="shared" si="1"/>
        <v>-</v>
      </c>
      <c r="P21" s="166"/>
      <c r="Q21" s="414">
        <v>0</v>
      </c>
      <c r="R21" s="415">
        <v>0</v>
      </c>
      <c r="S21" s="416">
        <f t="shared" si="2"/>
        <v>0</v>
      </c>
      <c r="T21" s="731" t="str">
        <f t="shared" si="3"/>
        <v>-</v>
      </c>
      <c r="U21" s="782"/>
      <c r="V21" s="417">
        <f t="shared" si="10"/>
        <v>0</v>
      </c>
      <c r="W21" s="416">
        <f t="shared" si="10"/>
        <v>0</v>
      </c>
      <c r="X21" s="416">
        <f t="shared" si="11"/>
        <v>0</v>
      </c>
      <c r="Y21" s="731" t="str">
        <f t="shared" si="4"/>
        <v>-</v>
      </c>
      <c r="Z21" s="169"/>
      <c r="AA21" s="417">
        <v>0</v>
      </c>
      <c r="AB21" s="416">
        <f t="shared" si="12"/>
        <v>0</v>
      </c>
      <c r="AC21" s="731" t="str">
        <f t="shared" si="5"/>
        <v>-</v>
      </c>
      <c r="AD21" s="1162"/>
      <c r="AE21" s="1180"/>
      <c r="AG21" s="173"/>
    </row>
    <row r="22" spans="1:33" x14ac:dyDescent="0.3">
      <c r="A22" s="1096" t="s">
        <v>70</v>
      </c>
      <c r="B22" s="414">
        <v>0</v>
      </c>
      <c r="C22" s="415">
        <v>0</v>
      </c>
      <c r="D22" s="416">
        <f t="shared" si="6"/>
        <v>0</v>
      </c>
      <c r="E22" s="922" t="str">
        <f t="shared" si="7"/>
        <v>-</v>
      </c>
      <c r="F22" s="782"/>
      <c r="G22" s="397">
        <v>0</v>
      </c>
      <c r="H22" s="416">
        <v>0</v>
      </c>
      <c r="I22" s="604">
        <f t="shared" si="8"/>
        <v>0</v>
      </c>
      <c r="J22" s="922" t="str">
        <f t="shared" si="0"/>
        <v>-</v>
      </c>
      <c r="K22" s="782"/>
      <c r="L22" s="397">
        <v>0</v>
      </c>
      <c r="M22" s="904">
        <v>0</v>
      </c>
      <c r="N22" s="416">
        <f t="shared" si="9"/>
        <v>0</v>
      </c>
      <c r="O22" s="731" t="str">
        <f t="shared" si="1"/>
        <v>-</v>
      </c>
      <c r="P22" s="166"/>
      <c r="Q22" s="414">
        <v>0</v>
      </c>
      <c r="R22" s="415">
        <v>0</v>
      </c>
      <c r="S22" s="416">
        <f t="shared" si="2"/>
        <v>0</v>
      </c>
      <c r="T22" s="731" t="str">
        <f t="shared" si="3"/>
        <v>-</v>
      </c>
      <c r="U22" s="782"/>
      <c r="V22" s="417">
        <f t="shared" si="10"/>
        <v>0</v>
      </c>
      <c r="W22" s="416">
        <f t="shared" si="10"/>
        <v>0</v>
      </c>
      <c r="X22" s="416">
        <f t="shared" si="11"/>
        <v>0</v>
      </c>
      <c r="Y22" s="731" t="str">
        <f t="shared" si="4"/>
        <v>-</v>
      </c>
      <c r="Z22" s="169"/>
      <c r="AA22" s="417">
        <v>0</v>
      </c>
      <c r="AB22" s="416">
        <f t="shared" si="12"/>
        <v>0</v>
      </c>
      <c r="AC22" s="731" t="str">
        <f t="shared" si="5"/>
        <v>-</v>
      </c>
      <c r="AD22" s="1162"/>
      <c r="AE22" s="1182"/>
    </row>
    <row r="23" spans="1:33" x14ac:dyDescent="0.3">
      <c r="A23" s="1096" t="s">
        <v>72</v>
      </c>
      <c r="B23" s="414">
        <v>0</v>
      </c>
      <c r="C23" s="415">
        <v>0</v>
      </c>
      <c r="D23" s="416">
        <f t="shared" si="6"/>
        <v>0</v>
      </c>
      <c r="E23" s="922" t="str">
        <f t="shared" si="7"/>
        <v>-</v>
      </c>
      <c r="F23" s="782"/>
      <c r="G23" s="397">
        <v>0</v>
      </c>
      <c r="H23" s="416">
        <v>0</v>
      </c>
      <c r="I23" s="604">
        <f t="shared" si="8"/>
        <v>0</v>
      </c>
      <c r="J23" s="922" t="str">
        <f t="shared" si="0"/>
        <v>-</v>
      </c>
      <c r="K23" s="782"/>
      <c r="L23" s="397">
        <v>0</v>
      </c>
      <c r="M23" s="904">
        <v>0</v>
      </c>
      <c r="N23" s="416">
        <f t="shared" si="9"/>
        <v>0</v>
      </c>
      <c r="O23" s="731" t="str">
        <f t="shared" si="1"/>
        <v>-</v>
      </c>
      <c r="P23" s="166"/>
      <c r="Q23" s="414">
        <v>0</v>
      </c>
      <c r="R23" s="415">
        <v>0</v>
      </c>
      <c r="S23" s="416">
        <f t="shared" si="2"/>
        <v>0</v>
      </c>
      <c r="T23" s="731" t="str">
        <f t="shared" si="3"/>
        <v>-</v>
      </c>
      <c r="U23" s="924"/>
      <c r="V23" s="417">
        <f t="shared" si="10"/>
        <v>0</v>
      </c>
      <c r="W23" s="416">
        <f t="shared" si="10"/>
        <v>0</v>
      </c>
      <c r="X23" s="416">
        <f t="shared" si="11"/>
        <v>0</v>
      </c>
      <c r="Y23" s="731" t="str">
        <f t="shared" si="4"/>
        <v>-</v>
      </c>
      <c r="Z23" s="169"/>
      <c r="AA23" s="417">
        <v>0</v>
      </c>
      <c r="AB23" s="416">
        <f t="shared" si="12"/>
        <v>0</v>
      </c>
      <c r="AC23" s="901" t="str">
        <f t="shared" si="5"/>
        <v>-</v>
      </c>
      <c r="AD23" s="1162"/>
      <c r="AE23" s="1180"/>
    </row>
    <row r="24" spans="1:33" x14ac:dyDescent="0.3">
      <c r="A24" s="1096" t="s">
        <v>131</v>
      </c>
      <c r="B24" s="414">
        <v>0</v>
      </c>
      <c r="C24" s="415">
        <v>0</v>
      </c>
      <c r="D24" s="416">
        <f t="shared" si="6"/>
        <v>0</v>
      </c>
      <c r="E24" s="922" t="str">
        <f t="shared" si="7"/>
        <v>-</v>
      </c>
      <c r="F24" s="782"/>
      <c r="G24" s="397">
        <v>0</v>
      </c>
      <c r="H24" s="416">
        <v>0</v>
      </c>
      <c r="I24" s="604">
        <f t="shared" si="8"/>
        <v>0</v>
      </c>
      <c r="J24" s="922" t="str">
        <f t="shared" si="0"/>
        <v>-</v>
      </c>
      <c r="K24" s="782"/>
      <c r="L24" s="397">
        <v>0</v>
      </c>
      <c r="M24" s="1094">
        <v>0</v>
      </c>
      <c r="N24" s="892"/>
      <c r="O24" s="929"/>
      <c r="P24" s="166"/>
      <c r="Q24" s="414">
        <v>0</v>
      </c>
      <c r="R24" s="415">
        <v>0</v>
      </c>
      <c r="S24" s="416">
        <f>R24-Q24</f>
        <v>0</v>
      </c>
      <c r="T24" s="929"/>
      <c r="U24" s="782"/>
      <c r="V24" s="889">
        <f t="shared" si="10"/>
        <v>0</v>
      </c>
      <c r="W24" s="891">
        <v>0</v>
      </c>
      <c r="X24" s="416">
        <f t="shared" si="11"/>
        <v>0</v>
      </c>
      <c r="Y24" s="929" t="str">
        <f t="shared" si="4"/>
        <v>-</v>
      </c>
      <c r="Z24" s="169"/>
      <c r="AA24" s="889">
        <v>0</v>
      </c>
      <c r="AB24" s="966">
        <f t="shared" si="12"/>
        <v>0</v>
      </c>
      <c r="AC24" s="731" t="str">
        <f t="shared" si="5"/>
        <v>-</v>
      </c>
      <c r="AD24" s="1162"/>
      <c r="AE24" s="1180"/>
    </row>
    <row r="25" spans="1:33" x14ac:dyDescent="0.3">
      <c r="A25" s="1265" t="s">
        <v>73</v>
      </c>
      <c r="B25" s="939">
        <f>SUM(B14:B24)</f>
        <v>10417134.949999997</v>
      </c>
      <c r="C25" s="720">
        <f>SUM(C14:C24)</f>
        <v>10187407.819999997</v>
      </c>
      <c r="D25" s="720">
        <f>SUM(D14:D24)</f>
        <v>-229727.13000000216</v>
      </c>
      <c r="E25" s="1276">
        <f t="shared" si="7"/>
        <v>-2.2052813091377126E-2</v>
      </c>
      <c r="F25" s="784"/>
      <c r="G25" s="1283">
        <f>SUM(G14:G24)</f>
        <v>8680814.9124290757</v>
      </c>
      <c r="H25" s="763">
        <f>SUM(H14:H24)</f>
        <v>8230962.6500000004</v>
      </c>
      <c r="I25" s="1157">
        <f>SUM(I14:I24)</f>
        <v>-449852.26242907549</v>
      </c>
      <c r="J25" s="1276">
        <f t="shared" si="0"/>
        <v>-5.1821432315643894E-2</v>
      </c>
      <c r="K25" s="784"/>
      <c r="L25" s="1157">
        <f>SUM(L14:L24)</f>
        <v>6360153.3551887991</v>
      </c>
      <c r="M25" s="719">
        <f>SUM(M14:M24)</f>
        <v>6100132.1800000006</v>
      </c>
      <c r="N25" s="719">
        <f>SUM(N14:N24)</f>
        <v>-260021.17518879892</v>
      </c>
      <c r="O25" s="721">
        <f t="shared" si="1"/>
        <v>-4.088284679121236E-2</v>
      </c>
      <c r="P25" s="178"/>
      <c r="Q25" s="963">
        <f>SUM(Q14:Q24)</f>
        <v>8001981.8199999994</v>
      </c>
      <c r="R25" s="719">
        <f>SUM(R14:R24)</f>
        <v>9182015.8999999985</v>
      </c>
      <c r="S25" s="719">
        <f>SUM(S14:S24)</f>
        <v>1180034.0799999987</v>
      </c>
      <c r="T25" s="964">
        <f t="shared" si="3"/>
        <v>0.14746772818836507</v>
      </c>
      <c r="U25" s="784"/>
      <c r="V25" s="965">
        <f>SUM(V14:V24)</f>
        <v>33460085.037617873</v>
      </c>
      <c r="W25" s="965">
        <f>SUM(W14:W24)</f>
        <v>33700518.54999999</v>
      </c>
      <c r="X25" s="936">
        <f>SUM(X14:X24)</f>
        <v>240433.51238212117</v>
      </c>
      <c r="Y25" s="964">
        <f t="shared" si="4"/>
        <v>7.1856814503552854E-3</v>
      </c>
      <c r="Z25" s="163"/>
      <c r="AA25" s="967">
        <f>SUM(AA14:AA24)</f>
        <v>33460084.5</v>
      </c>
      <c r="AB25" s="421">
        <f>SUM(AB14:AB23)</f>
        <v>-240434.04999999201</v>
      </c>
      <c r="AC25" s="183">
        <f t="shared" si="5"/>
        <v>-7.1856976332499104E-3</v>
      </c>
      <c r="AD25" s="1173"/>
      <c r="AE25" s="1319"/>
    </row>
    <row r="26" spans="1:33" x14ac:dyDescent="0.3">
      <c r="A26" s="1314"/>
      <c r="B26" s="414"/>
      <c r="C26" s="415"/>
      <c r="D26" s="415"/>
      <c r="E26" s="1277"/>
      <c r="F26" s="782"/>
      <c r="G26" s="396"/>
      <c r="H26" s="1042"/>
      <c r="I26" s="602"/>
      <c r="J26" s="1307"/>
      <c r="K26" s="782"/>
      <c r="L26" s="567"/>
      <c r="M26" s="415"/>
      <c r="N26" s="415"/>
      <c r="O26" s="191"/>
      <c r="P26" s="166"/>
      <c r="Q26" s="426"/>
      <c r="R26" s="427"/>
      <c r="S26" s="427"/>
      <c r="T26" s="192" t="str">
        <f t="shared" si="3"/>
        <v>-</v>
      </c>
      <c r="U26" s="782"/>
      <c r="V26" s="422"/>
      <c r="W26" s="423"/>
      <c r="X26" s="423"/>
      <c r="Y26" s="191"/>
      <c r="Z26" s="169"/>
      <c r="AA26" s="422"/>
      <c r="AB26" s="423"/>
      <c r="AC26" s="191"/>
      <c r="AD26" s="1162"/>
      <c r="AE26" s="1180"/>
    </row>
    <row r="27" spans="1:33" x14ac:dyDescent="0.3">
      <c r="A27" s="1256" t="s">
        <v>74</v>
      </c>
      <c r="B27" s="414">
        <v>0</v>
      </c>
      <c r="C27" s="415">
        <v>0</v>
      </c>
      <c r="D27" s="415">
        <f>C27-B27</f>
        <v>0</v>
      </c>
      <c r="E27" s="1278" t="str">
        <f>IF(ISERROR(D27/B27),"-",D27/B27)</f>
        <v>-</v>
      </c>
      <c r="F27" s="782"/>
      <c r="G27" s="396">
        <v>0</v>
      </c>
      <c r="H27" s="1042">
        <v>0</v>
      </c>
      <c r="I27" s="567">
        <f>H27-G27</f>
        <v>0</v>
      </c>
      <c r="J27" s="1308" t="str">
        <f>IF(ISERROR(I27/G27),"-",I27/G27)</f>
        <v>-</v>
      </c>
      <c r="K27" s="782"/>
      <c r="L27" s="567">
        <v>0</v>
      </c>
      <c r="M27" s="415">
        <v>0</v>
      </c>
      <c r="N27" s="415">
        <f>M27-L27</f>
        <v>0</v>
      </c>
      <c r="O27" s="196" t="str">
        <f>IF(ISERROR(N27/L27),"-",N27/L27)</f>
        <v>-</v>
      </c>
      <c r="P27" s="166"/>
      <c r="Q27" s="426">
        <v>0</v>
      </c>
      <c r="R27" s="427">
        <v>0</v>
      </c>
      <c r="S27" s="415">
        <f>R27-Q27</f>
        <v>0</v>
      </c>
      <c r="T27" s="197"/>
      <c r="U27" s="782"/>
      <c r="V27" s="414">
        <f>B27+G27+L27+Q27</f>
        <v>0</v>
      </c>
      <c r="W27" s="415">
        <f>C27+H27+M27+R27</f>
        <v>0</v>
      </c>
      <c r="X27" s="415">
        <f>W27-V27</f>
        <v>0</v>
      </c>
      <c r="Y27" s="199"/>
      <c r="Z27" s="169"/>
      <c r="AA27" s="414">
        <v>0</v>
      </c>
      <c r="AB27" s="605">
        <f>AA27-W27</f>
        <v>0</v>
      </c>
      <c r="AC27" s="901" t="str">
        <f t="shared" si="5"/>
        <v>-</v>
      </c>
      <c r="AD27" s="1162"/>
      <c r="AE27" s="1180"/>
    </row>
    <row r="28" spans="1:33" x14ac:dyDescent="0.3">
      <c r="A28" s="1264"/>
      <c r="B28" s="428"/>
      <c r="C28" s="429"/>
      <c r="D28" s="429"/>
      <c r="E28" s="1279"/>
      <c r="F28" s="781"/>
      <c r="G28" s="1284"/>
      <c r="H28" s="1288"/>
      <c r="I28" s="789"/>
      <c r="J28" s="1309"/>
      <c r="K28" s="781"/>
      <c r="L28" s="568"/>
      <c r="M28" s="429"/>
      <c r="N28" s="429"/>
      <c r="O28" s="207"/>
      <c r="P28" s="160"/>
      <c r="Q28" s="430"/>
      <c r="R28" s="431"/>
      <c r="S28" s="431"/>
      <c r="T28" s="208"/>
      <c r="U28" s="781"/>
      <c r="V28" s="428"/>
      <c r="W28" s="429"/>
      <c r="X28" s="429"/>
      <c r="Y28" s="207"/>
      <c r="Z28" s="163"/>
      <c r="AA28" s="428"/>
      <c r="AB28" s="429"/>
      <c r="AC28" s="207"/>
      <c r="AD28" s="1168"/>
      <c r="AE28" s="1180"/>
    </row>
    <row r="29" spans="1:33" x14ac:dyDescent="0.3">
      <c r="A29" s="1265" t="s">
        <v>75</v>
      </c>
      <c r="B29" s="432">
        <f>B25+B27</f>
        <v>10417134.949999997</v>
      </c>
      <c r="C29" s="754">
        <f>C25+C27</f>
        <v>10187407.819999997</v>
      </c>
      <c r="D29" s="433">
        <f>D25+D27</f>
        <v>-229727.13000000216</v>
      </c>
      <c r="E29" s="1219">
        <f>IF(ISERROR(D29/B29),"-",D29/B29)</f>
        <v>-2.2052813091377126E-2</v>
      </c>
      <c r="F29" s="784"/>
      <c r="G29" s="1063">
        <f>G25+G27</f>
        <v>8680814.9124290757</v>
      </c>
      <c r="H29" s="1232">
        <f>H25+H27</f>
        <v>8230962.6500000004</v>
      </c>
      <c r="I29" s="565">
        <f>I25+I27</f>
        <v>-449852.26242907549</v>
      </c>
      <c r="J29" s="1219">
        <f>IF(ISERROR(I29/G29),"-",I29/G29)</f>
        <v>-5.1821432315643894E-2</v>
      </c>
      <c r="K29" s="784"/>
      <c r="L29" s="565">
        <f>L25+L27</f>
        <v>6360153.3551887991</v>
      </c>
      <c r="M29" s="433">
        <f>M25+M27</f>
        <v>6100132.1800000006</v>
      </c>
      <c r="N29" s="433">
        <f>N25+N27</f>
        <v>-260021.17518879892</v>
      </c>
      <c r="O29" s="212">
        <f>IF(ISERROR(N29/L29),"-",N29/L29)</f>
        <v>-4.088284679121236E-2</v>
      </c>
      <c r="P29" s="178"/>
      <c r="Q29" s="432">
        <f>Q25+Q27</f>
        <v>8001981.8199999994</v>
      </c>
      <c r="R29" s="433">
        <f>R25+R27</f>
        <v>9182015.8999999985</v>
      </c>
      <c r="S29" s="433">
        <f>S25+S27</f>
        <v>1180034.0799999987</v>
      </c>
      <c r="T29" s="212">
        <f t="shared" si="3"/>
        <v>0.14746772818836507</v>
      </c>
      <c r="U29" s="784"/>
      <c r="V29" s="432">
        <f>V25+V27</f>
        <v>33460085.037617873</v>
      </c>
      <c r="W29" s="433">
        <f>W25+W27</f>
        <v>33700518.54999999</v>
      </c>
      <c r="X29" s="433">
        <f>X25+X27</f>
        <v>240433.51238212117</v>
      </c>
      <c r="Y29" s="212">
        <f>IF(ISERROR(X29/V29),"-",X29/V29)</f>
        <v>7.1856814503552854E-3</v>
      </c>
      <c r="Z29" s="163"/>
      <c r="AA29" s="434">
        <f>AA25+AA27</f>
        <v>33460084.5</v>
      </c>
      <c r="AB29" s="1329">
        <f>AA29-W29</f>
        <v>-240434.04999998957</v>
      </c>
      <c r="AC29" s="215">
        <f>IF(ISERROR(AB29/AA29),"-",AB29/AA29)</f>
        <v>-7.1856976332498376E-3</v>
      </c>
      <c r="AD29" s="1173"/>
      <c r="AE29" s="1319"/>
    </row>
    <row r="30" spans="1:33" x14ac:dyDescent="0.3">
      <c r="A30" s="1266"/>
      <c r="B30" s="1293"/>
      <c r="C30" s="1296"/>
      <c r="D30" s="569"/>
      <c r="E30" s="1280"/>
      <c r="F30" s="781"/>
      <c r="G30" s="1285"/>
      <c r="H30" s="1289"/>
      <c r="I30" s="790"/>
      <c r="J30" s="1310"/>
      <c r="K30" s="781"/>
      <c r="L30" s="569"/>
      <c r="M30" s="437"/>
      <c r="N30" s="437"/>
      <c r="O30" s="223"/>
      <c r="P30" s="160"/>
      <c r="Q30" s="438"/>
      <c r="R30" s="439"/>
      <c r="S30" s="439"/>
      <c r="T30" s="224"/>
      <c r="U30" s="781"/>
      <c r="V30" s="422"/>
      <c r="W30" s="423"/>
      <c r="X30" s="437"/>
      <c r="Y30" s="223"/>
      <c r="Z30" s="163"/>
      <c r="AA30" s="1323"/>
      <c r="AB30" s="1296"/>
      <c r="AC30" s="1325"/>
      <c r="AD30" s="1168"/>
      <c r="AE30" s="1180"/>
    </row>
    <row r="31" spans="1:33" x14ac:dyDescent="0.3">
      <c r="A31" s="1256" t="s">
        <v>76</v>
      </c>
      <c r="B31" s="889"/>
      <c r="C31" s="416"/>
      <c r="D31" s="567"/>
      <c r="E31" s="1277"/>
      <c r="F31" s="782"/>
      <c r="G31" s="396"/>
      <c r="H31" s="1042"/>
      <c r="I31" s="602"/>
      <c r="J31" s="1307"/>
      <c r="K31" s="782"/>
      <c r="L31" s="567"/>
      <c r="M31" s="415"/>
      <c r="N31" s="415"/>
      <c r="O31" s="199"/>
      <c r="P31" s="166"/>
      <c r="Q31" s="426"/>
      <c r="R31" s="427"/>
      <c r="S31" s="427"/>
      <c r="T31" s="229"/>
      <c r="U31" s="782"/>
      <c r="V31" s="414"/>
      <c r="W31" s="415"/>
      <c r="X31" s="415" t="s">
        <v>186</v>
      </c>
      <c r="Y31" s="199"/>
      <c r="Z31" s="169"/>
      <c r="AA31" s="889"/>
      <c r="AB31" s="416"/>
      <c r="AC31" s="902"/>
      <c r="AD31" s="1162"/>
      <c r="AE31" s="1180"/>
    </row>
    <row r="32" spans="1:33" x14ac:dyDescent="0.3">
      <c r="A32" s="1256" t="s">
        <v>77</v>
      </c>
      <c r="B32" s="889"/>
      <c r="C32" s="416"/>
      <c r="D32" s="567"/>
      <c r="E32" s="1277"/>
      <c r="F32" s="782"/>
      <c r="G32" s="396"/>
      <c r="H32" s="1042"/>
      <c r="I32" s="602"/>
      <c r="J32" s="1307"/>
      <c r="K32" s="782"/>
      <c r="L32" s="567"/>
      <c r="M32" s="415"/>
      <c r="N32" s="415"/>
      <c r="O32" s="199"/>
      <c r="P32" s="166"/>
      <c r="Q32" s="426"/>
      <c r="R32" s="427"/>
      <c r="S32" s="427"/>
      <c r="T32" s="229"/>
      <c r="U32" s="782"/>
      <c r="V32" s="414"/>
      <c r="W32" s="415"/>
      <c r="X32" s="415"/>
      <c r="Y32" s="199"/>
      <c r="Z32" s="169"/>
      <c r="AA32" s="889"/>
      <c r="AB32" s="416"/>
      <c r="AC32" s="902"/>
      <c r="AD32" s="1162"/>
      <c r="AE32" s="1180"/>
    </row>
    <row r="33" spans="1:31" x14ac:dyDescent="0.3">
      <c r="A33" s="1096" t="s">
        <v>78</v>
      </c>
      <c r="B33" s="1065">
        <v>3094800.72</v>
      </c>
      <c r="C33" s="1042">
        <v>2524717.81</v>
      </c>
      <c r="D33" s="604">
        <f t="shared" ref="D33:D40" si="13">C33-B33</f>
        <v>-570082.91000000015</v>
      </c>
      <c r="E33" s="1278">
        <f t="shared" ref="E33:E40" si="14">IF(ISERROR(D33/B33),"-",D33/B33)</f>
        <v>-0.18420666193977106</v>
      </c>
      <c r="F33" s="783"/>
      <c r="G33" s="396">
        <v>3218062.0699999994</v>
      </c>
      <c r="H33" s="1042">
        <v>2528043.56</v>
      </c>
      <c r="I33" s="604">
        <f t="shared" ref="I33:I40" si="15">H33-G33</f>
        <v>-690018.50999999931</v>
      </c>
      <c r="J33" s="1308">
        <f t="shared" ref="J33:J41" si="16">IF(ISERROR(I33/G33),"-",I33/G33)</f>
        <v>-0.21442050991887782</v>
      </c>
      <c r="K33" s="783"/>
      <c r="L33" s="567">
        <v>3187157.8400000003</v>
      </c>
      <c r="M33" s="427">
        <v>2567625.29</v>
      </c>
      <c r="N33" s="416">
        <f t="shared" ref="N33:N40" si="17">M33-L33</f>
        <v>-619532.55000000028</v>
      </c>
      <c r="O33" s="196">
        <f t="shared" ref="O33:O41" si="18">IF(ISERROR(N33/L33),"-",N33/L33)</f>
        <v>-0.19438401896029103</v>
      </c>
      <c r="P33" s="171"/>
      <c r="Q33" s="903">
        <v>2881075.2699999996</v>
      </c>
      <c r="R33" s="427">
        <v>2601240.2899999996</v>
      </c>
      <c r="S33" s="416">
        <f t="shared" ref="S33:S40" si="19">R33-Q33</f>
        <v>-279834.98</v>
      </c>
      <c r="T33" s="197">
        <f t="shared" ref="T33:T41" si="20">IF(ISERROR(S33/Q33),"-",S33/Q33)</f>
        <v>-9.7128659883988389E-2</v>
      </c>
      <c r="U33" s="783"/>
      <c r="V33" s="414">
        <f t="shared" ref="V33:V40" si="21">B33+G33+L33+Q33</f>
        <v>12381095.899999999</v>
      </c>
      <c r="W33" s="415">
        <f t="shared" ref="W33:W40" si="22">C33+H33+M33+R33</f>
        <v>10221626.949999999</v>
      </c>
      <c r="X33" s="416">
        <f t="shared" ref="X33:X40" si="23">W33-V33</f>
        <v>-2159468.9499999993</v>
      </c>
      <c r="Y33" s="196">
        <f t="shared" ref="Y33:Y41" si="24">IF(ISERROR(X33/V33),"-",X33/V33)</f>
        <v>-0.17441662413744807</v>
      </c>
      <c r="Z33" s="169"/>
      <c r="AA33" s="1082">
        <v>12381095</v>
      </c>
      <c r="AB33" s="416">
        <f>AA33-W33</f>
        <v>2159468.0500000007</v>
      </c>
      <c r="AC33" s="901">
        <f t="shared" ref="AC33:AC40" si="25">IF(ISERROR(AB33/AA33),"-",AB33/AA33)</f>
        <v>0.1744165641245787</v>
      </c>
      <c r="AD33" s="1163"/>
      <c r="AE33" s="1182"/>
    </row>
    <row r="34" spans="1:31" x14ac:dyDescent="0.3">
      <c r="A34" s="1096" t="s">
        <v>79</v>
      </c>
      <c r="B34" s="1065">
        <v>59102.520000000004</v>
      </c>
      <c r="C34" s="1042">
        <v>17965.96</v>
      </c>
      <c r="D34" s="604">
        <f t="shared" si="13"/>
        <v>-41136.560000000005</v>
      </c>
      <c r="E34" s="1278">
        <f t="shared" si="14"/>
        <v>-0.6960204065748804</v>
      </c>
      <c r="F34" s="783"/>
      <c r="G34" s="396">
        <v>55629.55</v>
      </c>
      <c r="H34" s="1042">
        <v>15903.030000000002</v>
      </c>
      <c r="I34" s="604">
        <f t="shared" si="15"/>
        <v>-39726.520000000004</v>
      </c>
      <c r="J34" s="1308">
        <f t="shared" si="16"/>
        <v>-0.71412621529385012</v>
      </c>
      <c r="K34" s="783"/>
      <c r="L34" s="567">
        <v>35437.120000000003</v>
      </c>
      <c r="M34" s="427">
        <v>15393.329999999998</v>
      </c>
      <c r="N34" s="416">
        <f t="shared" si="17"/>
        <v>-20043.790000000005</v>
      </c>
      <c r="O34" s="196">
        <f t="shared" si="18"/>
        <v>-0.56561565951183401</v>
      </c>
      <c r="P34" s="171"/>
      <c r="Q34" s="426">
        <v>19306.810000000001</v>
      </c>
      <c r="R34" s="427">
        <v>860.63999999999942</v>
      </c>
      <c r="S34" s="416">
        <f t="shared" si="19"/>
        <v>-18446.170000000002</v>
      </c>
      <c r="T34" s="197">
        <f t="shared" si="20"/>
        <v>-0.95542298287495453</v>
      </c>
      <c r="U34" s="783"/>
      <c r="V34" s="414">
        <f t="shared" si="21"/>
        <v>169476</v>
      </c>
      <c r="W34" s="415">
        <f t="shared" si="22"/>
        <v>50122.960000000006</v>
      </c>
      <c r="X34" s="416">
        <f t="shared" si="23"/>
        <v>-119353.04</v>
      </c>
      <c r="Y34" s="196">
        <f t="shared" si="24"/>
        <v>-0.70424744506596804</v>
      </c>
      <c r="Z34" s="169"/>
      <c r="AA34" s="1082">
        <v>169476</v>
      </c>
      <c r="AB34" s="416">
        <f t="shared" ref="AB34:AB40" si="26">AA34-W34</f>
        <v>119353.04</v>
      </c>
      <c r="AC34" s="901">
        <f t="shared" si="25"/>
        <v>0.70424744506596804</v>
      </c>
      <c r="AD34" s="1163"/>
      <c r="AE34" s="1182"/>
    </row>
    <row r="35" spans="1:31" x14ac:dyDescent="0.3">
      <c r="A35" s="1096" t="s">
        <v>81</v>
      </c>
      <c r="B35" s="1065">
        <v>197391.55</v>
      </c>
      <c r="C35" s="1042">
        <v>141512.99</v>
      </c>
      <c r="D35" s="604">
        <f t="shared" si="13"/>
        <v>-55878.559999999998</v>
      </c>
      <c r="E35" s="1278">
        <f t="shared" si="14"/>
        <v>-0.28308486356178875</v>
      </c>
      <c r="F35" s="783"/>
      <c r="G35" s="396">
        <v>197775.39999999997</v>
      </c>
      <c r="H35" s="1042">
        <v>142988.88</v>
      </c>
      <c r="I35" s="604">
        <f t="shared" si="15"/>
        <v>-54786.51999999996</v>
      </c>
      <c r="J35" s="1308">
        <f t="shared" si="16"/>
        <v>-0.27701382477294939</v>
      </c>
      <c r="K35" s="783"/>
      <c r="L35" s="567">
        <v>229179.36</v>
      </c>
      <c r="M35" s="427">
        <v>141482.52000000002</v>
      </c>
      <c r="N35" s="416">
        <f t="shared" si="17"/>
        <v>-87696.839999999967</v>
      </c>
      <c r="O35" s="196">
        <f t="shared" si="18"/>
        <v>-0.38265592503618118</v>
      </c>
      <c r="P35" s="171"/>
      <c r="Q35" s="426">
        <v>222445.42</v>
      </c>
      <c r="R35" s="427">
        <v>195423.8</v>
      </c>
      <c r="S35" s="416">
        <f t="shared" si="19"/>
        <v>-27021.620000000024</v>
      </c>
      <c r="T35" s="197">
        <f t="shared" si="20"/>
        <v>-0.12147528144207249</v>
      </c>
      <c r="U35" s="783"/>
      <c r="V35" s="414">
        <f t="shared" si="21"/>
        <v>846791.73</v>
      </c>
      <c r="W35" s="415">
        <f t="shared" si="22"/>
        <v>621408.18999999994</v>
      </c>
      <c r="X35" s="416">
        <f t="shared" si="23"/>
        <v>-225383.54000000004</v>
      </c>
      <c r="Y35" s="196">
        <f t="shared" si="24"/>
        <v>-0.26616171605738287</v>
      </c>
      <c r="Z35" s="169"/>
      <c r="AA35" s="1082">
        <v>846791.6</v>
      </c>
      <c r="AB35" s="416">
        <f t="shared" si="26"/>
        <v>225383.41000000003</v>
      </c>
      <c r="AC35" s="901">
        <f t="shared" si="25"/>
        <v>0.26616160339804984</v>
      </c>
      <c r="AD35" s="1163"/>
      <c r="AE35" s="1182"/>
    </row>
    <row r="36" spans="1:31" ht="30" customHeight="1" x14ac:dyDescent="0.3">
      <c r="A36" s="1096" t="s">
        <v>106</v>
      </c>
      <c r="B36" s="1065">
        <v>175944.7</v>
      </c>
      <c r="C36" s="1042">
        <v>130596.03</v>
      </c>
      <c r="D36" s="604">
        <f t="shared" si="13"/>
        <v>-45348.670000000013</v>
      </c>
      <c r="E36" s="1278">
        <f t="shared" si="14"/>
        <v>-0.25774388202656862</v>
      </c>
      <c r="F36" s="785"/>
      <c r="G36" s="396">
        <v>179626.43</v>
      </c>
      <c r="H36" s="1042">
        <v>129941.04000000002</v>
      </c>
      <c r="I36" s="604">
        <f t="shared" si="15"/>
        <v>-49685.38999999997</v>
      </c>
      <c r="J36" s="1308">
        <f t="shared" si="16"/>
        <v>-0.27660400532371532</v>
      </c>
      <c r="K36" s="785"/>
      <c r="L36" s="567">
        <v>185574.65</v>
      </c>
      <c r="M36" s="427">
        <v>132287.28999999998</v>
      </c>
      <c r="N36" s="416">
        <f t="shared" si="17"/>
        <v>-53287.360000000015</v>
      </c>
      <c r="O36" s="196">
        <f t="shared" si="18"/>
        <v>-0.28714784050515529</v>
      </c>
      <c r="P36" s="230"/>
      <c r="Q36" s="426">
        <v>181788.41</v>
      </c>
      <c r="R36" s="427">
        <v>130702.98000000001</v>
      </c>
      <c r="S36" s="416">
        <f t="shared" si="19"/>
        <v>-51085.429999999993</v>
      </c>
      <c r="T36" s="197">
        <f t="shared" si="20"/>
        <v>-0.28101587994526162</v>
      </c>
      <c r="U36" s="785"/>
      <c r="V36" s="1683">
        <f t="shared" si="21"/>
        <v>722934.19000000006</v>
      </c>
      <c r="W36" s="415">
        <f t="shared" si="22"/>
        <v>523527.33999999997</v>
      </c>
      <c r="X36" s="416">
        <f t="shared" si="23"/>
        <v>-199406.85000000009</v>
      </c>
      <c r="Y36" s="196">
        <f t="shared" si="24"/>
        <v>-0.27582987878882875</v>
      </c>
      <c r="Z36" s="231"/>
      <c r="AA36" s="889">
        <v>722934</v>
      </c>
      <c r="AB36" s="416">
        <f t="shared" si="26"/>
        <v>199406.66000000003</v>
      </c>
      <c r="AC36" s="901">
        <f t="shared" si="25"/>
        <v>0.27582968846395389</v>
      </c>
      <c r="AD36" s="1164"/>
      <c r="AE36" s="1180"/>
    </row>
    <row r="37" spans="1:31" x14ac:dyDescent="0.3">
      <c r="A37" s="1096" t="s">
        <v>80</v>
      </c>
      <c r="B37" s="1065">
        <v>118608.49999999999</v>
      </c>
      <c r="C37" s="1042">
        <v>55924.59</v>
      </c>
      <c r="D37" s="604">
        <f t="shared" si="13"/>
        <v>-62683.909999999989</v>
      </c>
      <c r="E37" s="1278">
        <f t="shared" si="14"/>
        <v>-0.52849424788274024</v>
      </c>
      <c r="F37" s="785"/>
      <c r="G37" s="396">
        <v>102168.82999999999</v>
      </c>
      <c r="H37" s="1042">
        <v>60746.63</v>
      </c>
      <c r="I37" s="604">
        <f t="shared" si="15"/>
        <v>-41422.19999999999</v>
      </c>
      <c r="J37" s="1308">
        <f t="shared" si="16"/>
        <v>-0.40542893561568627</v>
      </c>
      <c r="K37" s="785"/>
      <c r="L37" s="567">
        <v>116530.24999999999</v>
      </c>
      <c r="M37" s="427">
        <v>61670.759999999995</v>
      </c>
      <c r="N37" s="416">
        <f t="shared" si="17"/>
        <v>-54859.489999999991</v>
      </c>
      <c r="O37" s="196">
        <f t="shared" si="18"/>
        <v>-0.47077467009639123</v>
      </c>
      <c r="P37" s="230"/>
      <c r="Q37" s="426">
        <v>85710.419999999984</v>
      </c>
      <c r="R37" s="427">
        <v>45669.109999999993</v>
      </c>
      <c r="S37" s="416">
        <f t="shared" si="19"/>
        <v>-40041.30999999999</v>
      </c>
      <c r="T37" s="197">
        <f t="shared" si="20"/>
        <v>-0.46716968601950615</v>
      </c>
      <c r="U37" s="785"/>
      <c r="V37" s="414">
        <f t="shared" si="21"/>
        <v>423017.99999999994</v>
      </c>
      <c r="W37" s="415">
        <f t="shared" si="22"/>
        <v>224011.08999999997</v>
      </c>
      <c r="X37" s="416">
        <f t="shared" si="23"/>
        <v>-199006.90999999997</v>
      </c>
      <c r="Y37" s="196">
        <f t="shared" si="24"/>
        <v>-0.47044548931723945</v>
      </c>
      <c r="Z37" s="231"/>
      <c r="AA37" s="889">
        <v>423018</v>
      </c>
      <c r="AB37" s="416">
        <f t="shared" si="26"/>
        <v>199006.91000000003</v>
      </c>
      <c r="AC37" s="901">
        <f t="shared" si="25"/>
        <v>0.47044548931723951</v>
      </c>
      <c r="AD37" s="1164"/>
      <c r="AE37" s="1177"/>
    </row>
    <row r="38" spans="1:31" x14ac:dyDescent="0.3">
      <c r="A38" s="1096" t="s">
        <v>130</v>
      </c>
      <c r="B38" s="1065">
        <v>301025.98</v>
      </c>
      <c r="C38" s="1042">
        <v>205128</v>
      </c>
      <c r="D38" s="604">
        <f t="shared" si="13"/>
        <v>-95897.979999999981</v>
      </c>
      <c r="E38" s="1278">
        <f t="shared" si="14"/>
        <v>-0.31857044365406595</v>
      </c>
      <c r="F38" s="783"/>
      <c r="G38" s="396">
        <v>296689.3</v>
      </c>
      <c r="H38" s="1042">
        <v>216228</v>
      </c>
      <c r="I38" s="604">
        <f t="shared" si="15"/>
        <v>-80461.299999999988</v>
      </c>
      <c r="J38" s="1308">
        <f t="shared" si="16"/>
        <v>-0.27119717495710155</v>
      </c>
      <c r="K38" s="783"/>
      <c r="L38" s="567">
        <v>293121.65000000008</v>
      </c>
      <c r="M38" s="427">
        <v>222444</v>
      </c>
      <c r="N38" s="416">
        <f t="shared" si="17"/>
        <v>-70677.650000000081</v>
      </c>
      <c r="O38" s="196">
        <f t="shared" si="18"/>
        <v>-0.24112053817928517</v>
      </c>
      <c r="P38" s="171"/>
      <c r="Q38" s="426">
        <v>282651.08999999997</v>
      </c>
      <c r="R38" s="427">
        <v>227328</v>
      </c>
      <c r="S38" s="416">
        <f t="shared" si="19"/>
        <v>-55323.089999999967</v>
      </c>
      <c r="T38" s="197">
        <f t="shared" si="20"/>
        <v>-0.19572926465629401</v>
      </c>
      <c r="U38" s="783"/>
      <c r="V38" s="414">
        <f t="shared" si="21"/>
        <v>1173488.02</v>
      </c>
      <c r="W38" s="415">
        <f t="shared" si="22"/>
        <v>871128</v>
      </c>
      <c r="X38" s="416">
        <f t="shared" si="23"/>
        <v>-302360.02</v>
      </c>
      <c r="Y38" s="196">
        <f t="shared" si="24"/>
        <v>-0.25765923030045079</v>
      </c>
      <c r="Z38" s="169"/>
      <c r="AA38" s="889">
        <v>1173488</v>
      </c>
      <c r="AB38" s="416">
        <f>AA38-W38</f>
        <v>302360</v>
      </c>
      <c r="AC38" s="901">
        <f t="shared" si="25"/>
        <v>0.25765921764858268</v>
      </c>
      <c r="AD38" s="1163"/>
      <c r="AE38" s="1182"/>
    </row>
    <row r="39" spans="1:31" x14ac:dyDescent="0.3">
      <c r="A39" s="1096" t="s">
        <v>129</v>
      </c>
      <c r="B39" s="1065">
        <v>0</v>
      </c>
      <c r="C39" s="1042">
        <v>0</v>
      </c>
      <c r="D39" s="604">
        <f t="shared" si="13"/>
        <v>0</v>
      </c>
      <c r="E39" s="1278" t="str">
        <f t="shared" si="14"/>
        <v>-</v>
      </c>
      <c r="F39" s="783"/>
      <c r="G39" s="396">
        <v>0</v>
      </c>
      <c r="H39" s="1042">
        <v>0</v>
      </c>
      <c r="I39" s="604">
        <f t="shared" si="15"/>
        <v>0</v>
      </c>
      <c r="J39" s="1308" t="str">
        <f t="shared" si="16"/>
        <v>-</v>
      </c>
      <c r="K39" s="783"/>
      <c r="L39" s="567">
        <v>0</v>
      </c>
      <c r="M39" s="427">
        <v>0</v>
      </c>
      <c r="N39" s="416">
        <f t="shared" si="17"/>
        <v>0</v>
      </c>
      <c r="O39" s="196" t="str">
        <f t="shared" si="18"/>
        <v>-</v>
      </c>
      <c r="P39" s="171"/>
      <c r="Q39" s="426">
        <v>0</v>
      </c>
      <c r="R39" s="427">
        <v>0</v>
      </c>
      <c r="S39" s="416">
        <f t="shared" si="19"/>
        <v>0</v>
      </c>
      <c r="T39" s="197" t="str">
        <f t="shared" si="20"/>
        <v>-</v>
      </c>
      <c r="U39" s="783"/>
      <c r="V39" s="414">
        <f t="shared" si="21"/>
        <v>0</v>
      </c>
      <c r="W39" s="415">
        <f t="shared" si="22"/>
        <v>0</v>
      </c>
      <c r="X39" s="416">
        <f t="shared" si="23"/>
        <v>0</v>
      </c>
      <c r="Y39" s="196" t="str">
        <f t="shared" si="24"/>
        <v>-</v>
      </c>
      <c r="Z39" s="169"/>
      <c r="AA39" s="889">
        <v>0</v>
      </c>
      <c r="AB39" s="416">
        <f t="shared" si="26"/>
        <v>0</v>
      </c>
      <c r="AC39" s="901" t="str">
        <f t="shared" si="25"/>
        <v>-</v>
      </c>
      <c r="AD39" s="1163"/>
      <c r="AE39" s="1182"/>
    </row>
    <row r="40" spans="1:31" x14ac:dyDescent="0.3">
      <c r="A40" s="1096" t="s">
        <v>40</v>
      </c>
      <c r="B40" s="1065">
        <v>14833</v>
      </c>
      <c r="C40" s="1042">
        <v>0</v>
      </c>
      <c r="D40" s="604">
        <f t="shared" si="13"/>
        <v>-14833</v>
      </c>
      <c r="E40" s="1278">
        <f t="shared" si="14"/>
        <v>-1</v>
      </c>
      <c r="F40" s="782"/>
      <c r="G40" s="396">
        <v>14833</v>
      </c>
      <c r="H40" s="1042">
        <v>0</v>
      </c>
      <c r="I40" s="604">
        <f t="shared" si="15"/>
        <v>-14833</v>
      </c>
      <c r="J40" s="1308">
        <f t="shared" si="16"/>
        <v>-1</v>
      </c>
      <c r="K40" s="782"/>
      <c r="L40" s="567">
        <v>14833</v>
      </c>
      <c r="M40" s="427">
        <v>0</v>
      </c>
      <c r="N40" s="416">
        <f t="shared" si="17"/>
        <v>-14833</v>
      </c>
      <c r="O40" s="196">
        <f t="shared" si="18"/>
        <v>-1</v>
      </c>
      <c r="P40" s="166"/>
      <c r="Q40" s="426">
        <v>14833</v>
      </c>
      <c r="R40" s="427">
        <v>0</v>
      </c>
      <c r="S40" s="416">
        <f t="shared" si="19"/>
        <v>-14833</v>
      </c>
      <c r="T40" s="197">
        <f t="shared" si="20"/>
        <v>-1</v>
      </c>
      <c r="U40" s="782"/>
      <c r="V40" s="414">
        <f t="shared" si="21"/>
        <v>59332</v>
      </c>
      <c r="W40" s="415">
        <f t="shared" si="22"/>
        <v>0</v>
      </c>
      <c r="X40" s="416">
        <f t="shared" si="23"/>
        <v>-59332</v>
      </c>
      <c r="Y40" s="196">
        <f t="shared" si="24"/>
        <v>-1</v>
      </c>
      <c r="Z40" s="169"/>
      <c r="AA40" s="889">
        <v>59332</v>
      </c>
      <c r="AB40" s="416">
        <f t="shared" si="26"/>
        <v>59332</v>
      </c>
      <c r="AC40" s="901">
        <f t="shared" si="25"/>
        <v>1</v>
      </c>
      <c r="AD40" s="1162"/>
      <c r="AE40" s="1320"/>
    </row>
    <row r="41" spans="1:31" x14ac:dyDescent="0.3">
      <c r="A41" s="1261" t="s">
        <v>83</v>
      </c>
      <c r="B41" s="1294">
        <f>SUM(B33:B40)</f>
        <v>3961706.97</v>
      </c>
      <c r="C41" s="763">
        <f>SUM(C33:C40)</f>
        <v>3075845.3799999994</v>
      </c>
      <c r="D41" s="1157">
        <f>SUM(D33:D40)</f>
        <v>-885861.59000000032</v>
      </c>
      <c r="E41" s="1276">
        <f>IF(ISERROR(D41/B41),"-",D41/B41)</f>
        <v>-0.2236060356579074</v>
      </c>
      <c r="F41" s="1290"/>
      <c r="G41" s="1283">
        <f>SUM(G33:G40)</f>
        <v>4064784.5799999991</v>
      </c>
      <c r="H41" s="763">
        <f>SUM(H33:H40)</f>
        <v>3093851.1399999997</v>
      </c>
      <c r="I41" s="1157">
        <f>SUM(I33:I40)</f>
        <v>-970933.43999999925</v>
      </c>
      <c r="J41" s="1276">
        <f t="shared" si="16"/>
        <v>-0.23886467311879034</v>
      </c>
      <c r="K41" s="1290"/>
      <c r="L41" s="1157">
        <f>SUM(L33:L40)</f>
        <v>4061833.87</v>
      </c>
      <c r="M41" s="720">
        <f>SUM(M33:M40)</f>
        <v>3140903.19</v>
      </c>
      <c r="N41" s="720">
        <f>SUM(N33:N40)</f>
        <v>-920930.6800000004</v>
      </c>
      <c r="O41" s="940">
        <f t="shared" si="18"/>
        <v>-0.22672780558600256</v>
      </c>
      <c r="P41" s="1291"/>
      <c r="Q41" s="939">
        <f>SUM(Q33:Q40)</f>
        <v>3687810.4199999995</v>
      </c>
      <c r="R41" s="720">
        <f>SUM(R33:R40)</f>
        <v>3201224.8199999994</v>
      </c>
      <c r="S41" s="720">
        <f>SUM(S33:S40)</f>
        <v>-486585.59999999998</v>
      </c>
      <c r="T41" s="940">
        <f t="shared" si="20"/>
        <v>-0.13194430965353149</v>
      </c>
      <c r="U41" s="1290"/>
      <c r="V41" s="939">
        <f>SUM(V33:V40)</f>
        <v>15776135.839999998</v>
      </c>
      <c r="W41" s="720">
        <f>SUM(W33:W40)</f>
        <v>12511824.529999999</v>
      </c>
      <c r="X41" s="720">
        <f>SUM(X33:X40)</f>
        <v>-3264311.3099999996</v>
      </c>
      <c r="Y41" s="940">
        <f t="shared" si="24"/>
        <v>-0.20691450321589017</v>
      </c>
      <c r="Z41" s="1292"/>
      <c r="AA41" s="1324">
        <f>SUM(AA33:AA40)</f>
        <v>15776134.6</v>
      </c>
      <c r="AB41" s="1331">
        <f>SUM(AB33:AB40)</f>
        <v>3264310.0700000012</v>
      </c>
      <c r="AC41" s="1326">
        <f>IF(ISERROR(AB41/AA41),"-",AB41/AA41)</f>
        <v>0.2069144408795803</v>
      </c>
      <c r="AD41" s="1332"/>
      <c r="AE41" s="1319"/>
    </row>
    <row r="42" spans="1:31" x14ac:dyDescent="0.3">
      <c r="A42" s="1272"/>
      <c r="B42" s="889"/>
      <c r="C42" s="416"/>
      <c r="D42" s="567"/>
      <c r="E42" s="1277"/>
      <c r="F42" s="782"/>
      <c r="G42" s="396"/>
      <c r="H42" s="1042"/>
      <c r="I42" s="602"/>
      <c r="J42" s="1307"/>
      <c r="K42" s="782"/>
      <c r="L42" s="567"/>
      <c r="M42" s="415"/>
      <c r="N42" s="415"/>
      <c r="O42" s="199"/>
      <c r="P42" s="166"/>
      <c r="Q42" s="426"/>
      <c r="R42" s="427"/>
      <c r="S42" s="427"/>
      <c r="T42" s="229"/>
      <c r="U42" s="782"/>
      <c r="V42" s="414"/>
      <c r="W42" s="415"/>
      <c r="X42" s="415"/>
      <c r="Y42" s="199"/>
      <c r="Z42" s="169"/>
      <c r="AA42" s="889"/>
      <c r="AB42" s="416"/>
      <c r="AC42" s="902"/>
      <c r="AD42" s="1162"/>
      <c r="AE42" s="1318"/>
    </row>
    <row r="43" spans="1:31" x14ac:dyDescent="0.3">
      <c r="A43" s="1256" t="s">
        <v>84</v>
      </c>
      <c r="B43" s="1045"/>
      <c r="C43" s="412"/>
      <c r="D43" s="571"/>
      <c r="E43" s="1281"/>
      <c r="F43" s="781"/>
      <c r="G43" s="383"/>
      <c r="H43" s="1231"/>
      <c r="I43" s="791"/>
      <c r="J43" s="1311"/>
      <c r="K43" s="781"/>
      <c r="L43" s="571"/>
      <c r="M43" s="445"/>
      <c r="N43" s="445"/>
      <c r="O43" s="246"/>
      <c r="P43" s="160"/>
      <c r="Q43" s="446"/>
      <c r="R43" s="447"/>
      <c r="S43" s="447"/>
      <c r="T43" s="247"/>
      <c r="U43" s="781"/>
      <c r="V43" s="444"/>
      <c r="W43" s="445"/>
      <c r="X43" s="415"/>
      <c r="Y43" s="199"/>
      <c r="Z43" s="163"/>
      <c r="AA43" s="1045"/>
      <c r="AB43" s="416"/>
      <c r="AC43" s="902"/>
      <c r="AD43" s="1168"/>
      <c r="AE43" s="1180"/>
    </row>
    <row r="44" spans="1:31" x14ac:dyDescent="0.3">
      <c r="A44" s="1096" t="s">
        <v>85</v>
      </c>
      <c r="B44" s="889">
        <v>62229.120000000003</v>
      </c>
      <c r="C44" s="1042">
        <v>6991.16</v>
      </c>
      <c r="D44" s="604">
        <f>C44-B44</f>
        <v>-55237.960000000006</v>
      </c>
      <c r="E44" s="1278">
        <f t="shared" ref="E44:E76" si="27">IF(ISERROR(D44/B44),"-",D44/B44)</f>
        <v>-0.88765452572686232</v>
      </c>
      <c r="F44" s="783"/>
      <c r="G44" s="396">
        <v>43978.360000000008</v>
      </c>
      <c r="H44" s="1042">
        <v>1197.32</v>
      </c>
      <c r="I44" s="604">
        <f>H44-G44</f>
        <v>-42781.040000000008</v>
      </c>
      <c r="J44" s="1308">
        <f t="shared" ref="J44:J75" si="28">IF(ISERROR(I44/G44),"-",I44/G44)</f>
        <v>-0.97277479196586691</v>
      </c>
      <c r="K44" s="783"/>
      <c r="L44" s="567">
        <v>55518.079999999994</v>
      </c>
      <c r="M44" s="427">
        <v>2509.6000000000008</v>
      </c>
      <c r="N44" s="416">
        <f t="shared" ref="N44:N75" si="29">M44-L44</f>
        <v>-53008.479999999996</v>
      </c>
      <c r="O44" s="196">
        <f t="shared" ref="O44:O75" si="30">IF(ISERROR(N44/L44),"-",N44/L44)</f>
        <v>-0.95479670766712399</v>
      </c>
      <c r="P44" s="171"/>
      <c r="Q44" s="426">
        <v>62281.45</v>
      </c>
      <c r="R44" s="427">
        <v>21350.22</v>
      </c>
      <c r="S44" s="416">
        <f t="shared" ref="S44:S75" si="31">R44-Q44</f>
        <v>-40931.229999999996</v>
      </c>
      <c r="T44" s="197">
        <f t="shared" ref="T44:T72" si="32">IF(ISERROR(S44/Q44),"-",S44/Q44)</f>
        <v>-0.65719776915919581</v>
      </c>
      <c r="U44" s="783"/>
      <c r="V44" s="414">
        <f>B44+G44+L44+Q44</f>
        <v>224007.01</v>
      </c>
      <c r="W44" s="415">
        <f>C44+H44+M44+R44</f>
        <v>32048.300000000003</v>
      </c>
      <c r="X44" s="416">
        <f>W44-V44</f>
        <v>-191958.71000000002</v>
      </c>
      <c r="Y44" s="196">
        <f t="shared" ref="Y44:Y76" si="33">IF(ISERROR(X44/V44),"-",X44/V44)</f>
        <v>-0.85693170941391528</v>
      </c>
      <c r="Z44" s="169"/>
      <c r="AA44" s="889">
        <v>224007</v>
      </c>
      <c r="AB44" s="416">
        <f>AA44-W44</f>
        <v>191958.7</v>
      </c>
      <c r="AC44" s="901">
        <f t="shared" ref="AC44:AC76" si="34">IF(ISERROR(AB44/AA44),"-",AB44/AA44)</f>
        <v>0.85693170302713761</v>
      </c>
      <c r="AD44" s="1163"/>
      <c r="AE44" s="1184"/>
    </row>
    <row r="45" spans="1:31" x14ac:dyDescent="0.3">
      <c r="A45" s="1096" t="s">
        <v>128</v>
      </c>
      <c r="B45" s="889">
        <v>62500</v>
      </c>
      <c r="C45" s="1042">
        <v>0</v>
      </c>
      <c r="D45" s="604">
        <f t="shared" ref="D45:D75" si="35">C45-B45</f>
        <v>-62500</v>
      </c>
      <c r="E45" s="1278">
        <f t="shared" si="27"/>
        <v>-1</v>
      </c>
      <c r="F45" s="785"/>
      <c r="G45" s="396">
        <v>62500</v>
      </c>
      <c r="H45" s="1042">
        <v>0</v>
      </c>
      <c r="I45" s="604">
        <f t="shared" ref="I45:I75" si="36">H45-G45</f>
        <v>-62500</v>
      </c>
      <c r="J45" s="1308">
        <f t="shared" si="28"/>
        <v>-1</v>
      </c>
      <c r="K45" s="785"/>
      <c r="L45" s="567">
        <v>62500</v>
      </c>
      <c r="M45" s="427">
        <v>33602.5</v>
      </c>
      <c r="N45" s="416">
        <f t="shared" si="29"/>
        <v>-28897.5</v>
      </c>
      <c r="O45" s="196">
        <f t="shared" si="30"/>
        <v>-0.46235999999999999</v>
      </c>
      <c r="P45" s="230"/>
      <c r="Q45" s="426">
        <v>62500</v>
      </c>
      <c r="R45" s="427">
        <v>22043.239999999998</v>
      </c>
      <c r="S45" s="416">
        <f t="shared" si="31"/>
        <v>-40456.76</v>
      </c>
      <c r="T45" s="197">
        <f t="shared" si="32"/>
        <v>-0.64730816000000002</v>
      </c>
      <c r="U45" s="785"/>
      <c r="V45" s="414">
        <f>B45+G45+L45+Q45</f>
        <v>250000</v>
      </c>
      <c r="W45" s="415">
        <f>C45+H45+M45+R45</f>
        <v>55645.74</v>
      </c>
      <c r="X45" s="416">
        <f t="shared" ref="X45:X75" si="37">W45-V45</f>
        <v>-194354.26</v>
      </c>
      <c r="Y45" s="196">
        <f t="shared" si="33"/>
        <v>-0.77741704</v>
      </c>
      <c r="Z45" s="231"/>
      <c r="AA45" s="889">
        <v>250000</v>
      </c>
      <c r="AB45" s="416">
        <f t="shared" ref="AB45:AB75" si="38">AA45-W45</f>
        <v>194354.26</v>
      </c>
      <c r="AC45" s="901">
        <f t="shared" si="34"/>
        <v>0.77741704</v>
      </c>
      <c r="AD45" s="1164"/>
      <c r="AE45" s="1180"/>
    </row>
    <row r="46" spans="1:31" x14ac:dyDescent="0.3">
      <c r="A46" s="1096" t="s">
        <v>127</v>
      </c>
      <c r="B46" s="889">
        <v>23980.02</v>
      </c>
      <c r="C46" s="416">
        <v>0</v>
      </c>
      <c r="D46" s="604">
        <f t="shared" si="35"/>
        <v>-23980.02</v>
      </c>
      <c r="E46" s="1278">
        <f t="shared" si="27"/>
        <v>-1</v>
      </c>
      <c r="F46" s="785"/>
      <c r="G46" s="396">
        <v>23980.02</v>
      </c>
      <c r="H46" s="1042">
        <v>0</v>
      </c>
      <c r="I46" s="604">
        <f t="shared" si="36"/>
        <v>-23980.02</v>
      </c>
      <c r="J46" s="1308">
        <f t="shared" si="28"/>
        <v>-1</v>
      </c>
      <c r="K46" s="785"/>
      <c r="L46" s="567">
        <v>23980.010000000002</v>
      </c>
      <c r="M46" s="427">
        <v>102650.25</v>
      </c>
      <c r="N46" s="416">
        <f t="shared" si="29"/>
        <v>78670.239999999991</v>
      </c>
      <c r="O46" s="196">
        <f t="shared" si="30"/>
        <v>3.2806591823773212</v>
      </c>
      <c r="P46" s="230"/>
      <c r="Q46" s="426">
        <v>23980</v>
      </c>
      <c r="R46" s="427">
        <v>0</v>
      </c>
      <c r="S46" s="416">
        <f t="shared" si="31"/>
        <v>-23980</v>
      </c>
      <c r="T46" s="197">
        <f t="shared" si="32"/>
        <v>-1</v>
      </c>
      <c r="U46" s="785"/>
      <c r="V46" s="414">
        <f t="shared" ref="V46:V75" si="39">B46+G46+L46+Q46</f>
        <v>95920.05</v>
      </c>
      <c r="W46" s="415">
        <f t="shared" ref="W46:W75" si="40">C46+H46+M46+R46</f>
        <v>102650.25</v>
      </c>
      <c r="X46" s="416">
        <f t="shared" si="37"/>
        <v>6730.1999999999971</v>
      </c>
      <c r="Y46" s="196">
        <f t="shared" si="33"/>
        <v>7.0164684025915303E-2</v>
      </c>
      <c r="Z46" s="231"/>
      <c r="AA46" s="889">
        <v>95920</v>
      </c>
      <c r="AB46" s="416">
        <f t="shared" si="38"/>
        <v>-6730.25</v>
      </c>
      <c r="AC46" s="901">
        <f t="shared" si="34"/>
        <v>-7.0165241868223524E-2</v>
      </c>
      <c r="AD46" s="1164"/>
      <c r="AE46" s="1180"/>
    </row>
    <row r="47" spans="1:31" x14ac:dyDescent="0.3">
      <c r="A47" s="1096" t="s">
        <v>86</v>
      </c>
      <c r="B47" s="889">
        <v>549.99</v>
      </c>
      <c r="C47" s="416">
        <v>0</v>
      </c>
      <c r="D47" s="604">
        <f t="shared" si="35"/>
        <v>-549.99</v>
      </c>
      <c r="E47" s="1278">
        <f t="shared" si="27"/>
        <v>-1</v>
      </c>
      <c r="F47" s="785"/>
      <c r="G47" s="396">
        <v>549.99</v>
      </c>
      <c r="H47" s="1042">
        <v>0</v>
      </c>
      <c r="I47" s="604">
        <f t="shared" si="36"/>
        <v>-549.99</v>
      </c>
      <c r="J47" s="1308">
        <f t="shared" si="28"/>
        <v>-1</v>
      </c>
      <c r="K47" s="785"/>
      <c r="L47" s="567">
        <v>550.01</v>
      </c>
      <c r="M47" s="427">
        <v>0</v>
      </c>
      <c r="N47" s="416">
        <f t="shared" si="29"/>
        <v>-550.01</v>
      </c>
      <c r="O47" s="196">
        <f t="shared" si="30"/>
        <v>-1</v>
      </c>
      <c r="P47" s="230"/>
      <c r="Q47" s="426">
        <v>550.01</v>
      </c>
      <c r="R47" s="427">
        <v>0</v>
      </c>
      <c r="S47" s="416">
        <f t="shared" si="31"/>
        <v>-550.01</v>
      </c>
      <c r="T47" s="197">
        <f t="shared" si="32"/>
        <v>-1</v>
      </c>
      <c r="U47" s="785"/>
      <c r="V47" s="414">
        <f t="shared" si="39"/>
        <v>2200</v>
      </c>
      <c r="W47" s="415">
        <f t="shared" si="40"/>
        <v>0</v>
      </c>
      <c r="X47" s="416">
        <f t="shared" si="37"/>
        <v>-2200</v>
      </c>
      <c r="Y47" s="196">
        <f t="shared" si="33"/>
        <v>-1</v>
      </c>
      <c r="Z47" s="231"/>
      <c r="AA47" s="889">
        <v>2200</v>
      </c>
      <c r="AB47" s="416">
        <f t="shared" si="38"/>
        <v>2200</v>
      </c>
      <c r="AC47" s="901">
        <f t="shared" si="34"/>
        <v>1</v>
      </c>
      <c r="AD47" s="1164"/>
      <c r="AE47" s="1184"/>
    </row>
    <row r="48" spans="1:31" x14ac:dyDescent="0.3">
      <c r="A48" s="1096" t="s">
        <v>87</v>
      </c>
      <c r="B48" s="889">
        <v>1805.5700000000002</v>
      </c>
      <c r="C48" s="416">
        <v>1315.17</v>
      </c>
      <c r="D48" s="604">
        <f t="shared" si="35"/>
        <v>-490.40000000000009</v>
      </c>
      <c r="E48" s="1278">
        <f t="shared" si="27"/>
        <v>-0.27160398101430577</v>
      </c>
      <c r="F48" s="785"/>
      <c r="G48" s="396">
        <v>2323.31</v>
      </c>
      <c r="H48" s="1042">
        <v>2735.65</v>
      </c>
      <c r="I48" s="604">
        <f t="shared" si="36"/>
        <v>412.34000000000015</v>
      </c>
      <c r="J48" s="1308">
        <f t="shared" si="28"/>
        <v>0.17747954427088944</v>
      </c>
      <c r="K48" s="785"/>
      <c r="L48" s="567">
        <v>6127.44</v>
      </c>
      <c r="M48" s="427">
        <v>2525.1</v>
      </c>
      <c r="N48" s="416">
        <f t="shared" si="29"/>
        <v>-3602.3399999999997</v>
      </c>
      <c r="O48" s="196">
        <f t="shared" si="30"/>
        <v>-0.58790294152207123</v>
      </c>
      <c r="P48" s="230"/>
      <c r="Q48" s="426">
        <v>5243.68</v>
      </c>
      <c r="R48" s="427">
        <v>4983.5200000000004</v>
      </c>
      <c r="S48" s="416">
        <f t="shared" si="31"/>
        <v>-260.15999999999985</v>
      </c>
      <c r="T48" s="197">
        <f t="shared" si="32"/>
        <v>-4.9614011533884568E-2</v>
      </c>
      <c r="U48" s="785"/>
      <c r="V48" s="414">
        <f t="shared" si="39"/>
        <v>15500</v>
      </c>
      <c r="W48" s="415">
        <f t="shared" si="40"/>
        <v>11559.44</v>
      </c>
      <c r="X48" s="416">
        <f t="shared" si="37"/>
        <v>-3940.5599999999995</v>
      </c>
      <c r="Y48" s="196">
        <f t="shared" si="33"/>
        <v>-0.25422967741935482</v>
      </c>
      <c r="Z48" s="231"/>
      <c r="AA48" s="889">
        <v>15500</v>
      </c>
      <c r="AB48" s="416">
        <f t="shared" si="38"/>
        <v>3940.5599999999995</v>
      </c>
      <c r="AC48" s="901">
        <f t="shared" si="34"/>
        <v>0.25422967741935482</v>
      </c>
      <c r="AD48" s="1164"/>
      <c r="AE48" s="1180"/>
    </row>
    <row r="49" spans="1:31" x14ac:dyDescent="0.3">
      <c r="A49" s="1096" t="s">
        <v>88</v>
      </c>
      <c r="B49" s="889">
        <v>30706.53</v>
      </c>
      <c r="C49" s="1042">
        <v>30009.96</v>
      </c>
      <c r="D49" s="604">
        <f t="shared" si="35"/>
        <v>-696.56999999999971</v>
      </c>
      <c r="E49" s="1278">
        <f t="shared" si="27"/>
        <v>-2.2684751419323503E-2</v>
      </c>
      <c r="F49" s="783"/>
      <c r="G49" s="396">
        <v>29238.129999999997</v>
      </c>
      <c r="H49" s="1042">
        <v>31039.309999999998</v>
      </c>
      <c r="I49" s="604">
        <f t="shared" si="36"/>
        <v>1801.1800000000003</v>
      </c>
      <c r="J49" s="1308">
        <f t="shared" si="28"/>
        <v>6.1603802979191914E-2</v>
      </c>
      <c r="K49" s="783"/>
      <c r="L49" s="567">
        <v>29512.97</v>
      </c>
      <c r="M49" s="427">
        <v>29393.609999999997</v>
      </c>
      <c r="N49" s="416">
        <f t="shared" si="29"/>
        <v>-119.36000000000422</v>
      </c>
      <c r="O49" s="196">
        <f t="shared" si="30"/>
        <v>-4.0443235635045953E-3</v>
      </c>
      <c r="P49" s="171"/>
      <c r="Q49" s="426">
        <v>35535.370000000003</v>
      </c>
      <c r="R49" s="427">
        <v>38838.260000000009</v>
      </c>
      <c r="S49" s="416">
        <f t="shared" si="31"/>
        <v>3302.8900000000067</v>
      </c>
      <c r="T49" s="197">
        <f t="shared" si="32"/>
        <v>9.2946548748472482E-2</v>
      </c>
      <c r="U49" s="783"/>
      <c r="V49" s="414">
        <f t="shared" si="39"/>
        <v>124993</v>
      </c>
      <c r="W49" s="415">
        <f t="shared" si="40"/>
        <v>129281.14</v>
      </c>
      <c r="X49" s="416">
        <f t="shared" si="37"/>
        <v>4288.1399999999994</v>
      </c>
      <c r="Y49" s="196">
        <f t="shared" si="33"/>
        <v>3.430704119430688E-2</v>
      </c>
      <c r="Z49" s="169"/>
      <c r="AA49" s="889">
        <v>124993</v>
      </c>
      <c r="AB49" s="416">
        <f t="shared" si="38"/>
        <v>-4288.1399999999994</v>
      </c>
      <c r="AC49" s="901">
        <f t="shared" si="34"/>
        <v>-3.430704119430688E-2</v>
      </c>
      <c r="AD49" s="1163"/>
      <c r="AE49" s="1184"/>
    </row>
    <row r="50" spans="1:31" x14ac:dyDescent="0.3">
      <c r="A50" s="1096" t="s">
        <v>89</v>
      </c>
      <c r="B50" s="889">
        <v>61750</v>
      </c>
      <c r="C50" s="1042">
        <v>40622</v>
      </c>
      <c r="D50" s="604">
        <f t="shared" si="35"/>
        <v>-21128</v>
      </c>
      <c r="E50" s="1278">
        <f t="shared" si="27"/>
        <v>-0.34215384615384614</v>
      </c>
      <c r="F50" s="783"/>
      <c r="G50" s="396">
        <v>61750</v>
      </c>
      <c r="H50" s="1042">
        <v>0</v>
      </c>
      <c r="I50" s="604">
        <f t="shared" si="36"/>
        <v>-61750</v>
      </c>
      <c r="J50" s="1308">
        <f t="shared" si="28"/>
        <v>-1</v>
      </c>
      <c r="K50" s="783"/>
      <c r="L50" s="604">
        <v>61750</v>
      </c>
      <c r="M50" s="602">
        <v>0</v>
      </c>
      <c r="N50" s="416">
        <f t="shared" si="29"/>
        <v>-61750</v>
      </c>
      <c r="O50" s="196">
        <f t="shared" si="30"/>
        <v>-1</v>
      </c>
      <c r="P50" s="171"/>
      <c r="Q50" s="426">
        <v>61750</v>
      </c>
      <c r="R50" s="427">
        <v>10192.309999999998</v>
      </c>
      <c r="S50" s="416">
        <f t="shared" si="31"/>
        <v>-51557.69</v>
      </c>
      <c r="T50" s="197">
        <f t="shared" si="32"/>
        <v>-0.83494234817813773</v>
      </c>
      <c r="U50" s="783"/>
      <c r="V50" s="414">
        <f t="shared" si="39"/>
        <v>247000</v>
      </c>
      <c r="W50" s="415">
        <f t="shared" si="40"/>
        <v>50814.31</v>
      </c>
      <c r="X50" s="416">
        <f t="shared" si="37"/>
        <v>-196185.69</v>
      </c>
      <c r="Y50" s="196">
        <f t="shared" si="33"/>
        <v>-0.794274048582996</v>
      </c>
      <c r="Z50" s="169"/>
      <c r="AA50" s="889">
        <v>247000</v>
      </c>
      <c r="AB50" s="416">
        <f t="shared" si="38"/>
        <v>196185.69</v>
      </c>
      <c r="AC50" s="901">
        <f t="shared" si="34"/>
        <v>0.794274048582996</v>
      </c>
      <c r="AD50" s="1163"/>
      <c r="AE50" s="1184"/>
    </row>
    <row r="51" spans="1:31" x14ac:dyDescent="0.3">
      <c r="A51" s="1096" t="s">
        <v>113</v>
      </c>
      <c r="B51" s="889">
        <v>0</v>
      </c>
      <c r="C51" s="416">
        <v>0</v>
      </c>
      <c r="D51" s="604">
        <f t="shared" si="35"/>
        <v>0</v>
      </c>
      <c r="E51" s="1278" t="str">
        <f t="shared" si="27"/>
        <v>-</v>
      </c>
      <c r="F51" s="783"/>
      <c r="G51" s="397">
        <v>0</v>
      </c>
      <c r="H51" s="1042">
        <v>0</v>
      </c>
      <c r="I51" s="604">
        <f t="shared" si="36"/>
        <v>0</v>
      </c>
      <c r="J51" s="1308" t="str">
        <f t="shared" si="28"/>
        <v>-</v>
      </c>
      <c r="K51" s="783"/>
      <c r="L51" s="604">
        <v>0</v>
      </c>
      <c r="M51" s="567">
        <v>0</v>
      </c>
      <c r="N51" s="416">
        <f t="shared" si="29"/>
        <v>0</v>
      </c>
      <c r="O51" s="196" t="str">
        <f t="shared" si="30"/>
        <v>-</v>
      </c>
      <c r="P51" s="171"/>
      <c r="Q51" s="426">
        <v>0</v>
      </c>
      <c r="R51" s="427">
        <v>0</v>
      </c>
      <c r="S51" s="416">
        <f t="shared" si="31"/>
        <v>0</v>
      </c>
      <c r="T51" s="197" t="str">
        <f t="shared" si="32"/>
        <v>-</v>
      </c>
      <c r="U51" s="783"/>
      <c r="V51" s="414">
        <f t="shared" si="39"/>
        <v>0</v>
      </c>
      <c r="W51" s="415">
        <f t="shared" si="40"/>
        <v>0</v>
      </c>
      <c r="X51" s="416">
        <f t="shared" si="37"/>
        <v>0</v>
      </c>
      <c r="Y51" s="196"/>
      <c r="Z51" s="169"/>
      <c r="AA51" s="889">
        <v>0</v>
      </c>
      <c r="AB51" s="416">
        <f t="shared" si="38"/>
        <v>0</v>
      </c>
      <c r="AC51" s="901" t="str">
        <f t="shared" si="34"/>
        <v>-</v>
      </c>
      <c r="AD51" s="1163"/>
      <c r="AE51" s="1184"/>
    </row>
    <row r="52" spans="1:31" x14ac:dyDescent="0.3">
      <c r="A52" s="1096" t="s">
        <v>126</v>
      </c>
      <c r="B52" s="889">
        <v>249999</v>
      </c>
      <c r="C52" s="416">
        <v>0</v>
      </c>
      <c r="D52" s="604">
        <f t="shared" si="35"/>
        <v>-249999</v>
      </c>
      <c r="E52" s="1278">
        <f t="shared" si="27"/>
        <v>-1</v>
      </c>
      <c r="F52" s="785"/>
      <c r="G52" s="396">
        <v>249999</v>
      </c>
      <c r="H52" s="1042">
        <v>0</v>
      </c>
      <c r="I52" s="604">
        <f t="shared" si="36"/>
        <v>-249999</v>
      </c>
      <c r="J52" s="1308">
        <f t="shared" si="28"/>
        <v>-1</v>
      </c>
      <c r="K52" s="785"/>
      <c r="L52" s="604">
        <v>250000</v>
      </c>
      <c r="M52" s="567">
        <v>0</v>
      </c>
      <c r="N52" s="416">
        <f t="shared" si="29"/>
        <v>-250000</v>
      </c>
      <c r="O52" s="196">
        <f t="shared" si="30"/>
        <v>-1</v>
      </c>
      <c r="P52" s="230"/>
      <c r="Q52" s="426">
        <v>250002</v>
      </c>
      <c r="R52" s="427">
        <v>6105388.3499999996</v>
      </c>
      <c r="S52" s="416">
        <f t="shared" si="31"/>
        <v>5855386.3499999996</v>
      </c>
      <c r="T52" s="197">
        <f t="shared" si="32"/>
        <v>23.421358029135764</v>
      </c>
      <c r="U52" s="785"/>
      <c r="V52" s="414">
        <f t="shared" si="39"/>
        <v>1000000</v>
      </c>
      <c r="W52" s="415">
        <f t="shared" si="40"/>
        <v>6105388.3499999996</v>
      </c>
      <c r="X52" s="416">
        <f t="shared" si="37"/>
        <v>5105388.3499999996</v>
      </c>
      <c r="Y52" s="196">
        <f t="shared" si="33"/>
        <v>5.1053883499999992</v>
      </c>
      <c r="Z52" s="231"/>
      <c r="AA52" s="889">
        <v>1000000</v>
      </c>
      <c r="AB52" s="416">
        <f t="shared" si="38"/>
        <v>-5105388.3499999996</v>
      </c>
      <c r="AC52" s="901">
        <f t="shared" si="34"/>
        <v>-5.1053883499999992</v>
      </c>
      <c r="AD52" s="1164"/>
      <c r="AE52" s="1180"/>
    </row>
    <row r="53" spans="1:31" x14ac:dyDescent="0.3">
      <c r="A53" s="1096" t="s">
        <v>82</v>
      </c>
      <c r="B53" s="889">
        <v>36168.75</v>
      </c>
      <c r="C53" s="1042">
        <v>24825</v>
      </c>
      <c r="D53" s="604">
        <f t="shared" si="35"/>
        <v>-11343.75</v>
      </c>
      <c r="E53" s="1278">
        <f t="shared" si="27"/>
        <v>-0.31363400725764645</v>
      </c>
      <c r="F53" s="785"/>
      <c r="G53" s="396">
        <v>36168.75</v>
      </c>
      <c r="H53" s="1042">
        <v>25700</v>
      </c>
      <c r="I53" s="604">
        <f t="shared" si="36"/>
        <v>-10468.75</v>
      </c>
      <c r="J53" s="1308">
        <f t="shared" si="28"/>
        <v>-0.28944185242785553</v>
      </c>
      <c r="K53" s="785"/>
      <c r="L53" s="604">
        <v>36168.75</v>
      </c>
      <c r="M53" s="602">
        <v>27450</v>
      </c>
      <c r="N53" s="416">
        <f t="shared" si="29"/>
        <v>-8718.75</v>
      </c>
      <c r="O53" s="196">
        <f t="shared" si="30"/>
        <v>-0.24105754276827371</v>
      </c>
      <c r="P53" s="230"/>
      <c r="Q53" s="426">
        <v>36168.75</v>
      </c>
      <c r="R53" s="427">
        <v>27450</v>
      </c>
      <c r="S53" s="416">
        <f t="shared" si="31"/>
        <v>-8718.75</v>
      </c>
      <c r="T53" s="197">
        <f t="shared" si="32"/>
        <v>-0.24105754276827371</v>
      </c>
      <c r="U53" s="785"/>
      <c r="V53" s="414">
        <f t="shared" si="39"/>
        <v>144675</v>
      </c>
      <c r="W53" s="415">
        <f t="shared" si="40"/>
        <v>105425</v>
      </c>
      <c r="X53" s="416">
        <f t="shared" si="37"/>
        <v>-39250</v>
      </c>
      <c r="Y53" s="196">
        <f t="shared" si="33"/>
        <v>-0.27129773630551235</v>
      </c>
      <c r="Z53" s="231"/>
      <c r="AA53" s="889">
        <v>144675</v>
      </c>
      <c r="AB53" s="416">
        <f t="shared" si="38"/>
        <v>39250</v>
      </c>
      <c r="AC53" s="901">
        <f t="shared" si="34"/>
        <v>0.27129773630551235</v>
      </c>
      <c r="AD53" s="1164"/>
      <c r="AE53" s="1182"/>
    </row>
    <row r="54" spans="1:31" x14ac:dyDescent="0.3">
      <c r="A54" s="1096" t="s">
        <v>125</v>
      </c>
      <c r="B54" s="889">
        <v>0</v>
      </c>
      <c r="C54" s="416">
        <v>0</v>
      </c>
      <c r="D54" s="604">
        <f t="shared" si="35"/>
        <v>0</v>
      </c>
      <c r="E54" s="1278" t="str">
        <f t="shared" si="27"/>
        <v>-</v>
      </c>
      <c r="F54" s="785"/>
      <c r="G54" s="397">
        <v>0</v>
      </c>
      <c r="H54" s="416">
        <v>0</v>
      </c>
      <c r="I54" s="604">
        <f t="shared" si="36"/>
        <v>0</v>
      </c>
      <c r="J54" s="1308" t="str">
        <f t="shared" si="28"/>
        <v>-</v>
      </c>
      <c r="K54" s="785"/>
      <c r="L54" s="604">
        <v>0</v>
      </c>
      <c r="M54" s="567">
        <v>0</v>
      </c>
      <c r="N54" s="416">
        <f t="shared" si="29"/>
        <v>0</v>
      </c>
      <c r="O54" s="196" t="str">
        <f t="shared" si="30"/>
        <v>-</v>
      </c>
      <c r="P54" s="230"/>
      <c r="Q54" s="426">
        <v>0</v>
      </c>
      <c r="R54" s="426">
        <v>0</v>
      </c>
      <c r="S54" s="416">
        <f t="shared" si="31"/>
        <v>0</v>
      </c>
      <c r="T54" s="197"/>
      <c r="U54" s="785"/>
      <c r="V54" s="414">
        <f t="shared" si="39"/>
        <v>0</v>
      </c>
      <c r="W54" s="415">
        <f t="shared" si="40"/>
        <v>0</v>
      </c>
      <c r="X54" s="416">
        <f t="shared" si="37"/>
        <v>0</v>
      </c>
      <c r="Y54" s="196"/>
      <c r="Z54" s="231"/>
      <c r="AA54" s="889">
        <v>0</v>
      </c>
      <c r="AB54" s="416">
        <f t="shared" si="38"/>
        <v>0</v>
      </c>
      <c r="AC54" s="901" t="str">
        <f t="shared" si="34"/>
        <v>-</v>
      </c>
      <c r="AD54" s="1164"/>
      <c r="AE54" s="1182"/>
    </row>
    <row r="55" spans="1:31" x14ac:dyDescent="0.3">
      <c r="A55" s="1096" t="s">
        <v>90</v>
      </c>
      <c r="B55" s="889">
        <v>0</v>
      </c>
      <c r="C55" s="416">
        <v>0</v>
      </c>
      <c r="D55" s="604">
        <f t="shared" si="35"/>
        <v>0</v>
      </c>
      <c r="E55" s="1278" t="str">
        <f t="shared" si="27"/>
        <v>-</v>
      </c>
      <c r="F55" s="785"/>
      <c r="G55" s="397">
        <v>0</v>
      </c>
      <c r="H55" s="416">
        <v>0</v>
      </c>
      <c r="I55" s="604">
        <f t="shared" si="36"/>
        <v>0</v>
      </c>
      <c r="J55" s="1308" t="str">
        <f t="shared" si="28"/>
        <v>-</v>
      </c>
      <c r="K55" s="785"/>
      <c r="L55" s="604">
        <v>0</v>
      </c>
      <c r="M55" s="567">
        <v>0</v>
      </c>
      <c r="N55" s="416">
        <f t="shared" si="29"/>
        <v>0</v>
      </c>
      <c r="O55" s="196" t="str">
        <f t="shared" si="30"/>
        <v>-</v>
      </c>
      <c r="P55" s="230"/>
      <c r="Q55" s="426">
        <v>0</v>
      </c>
      <c r="R55" s="426">
        <v>0</v>
      </c>
      <c r="S55" s="416">
        <f t="shared" si="31"/>
        <v>0</v>
      </c>
      <c r="T55" s="197" t="str">
        <f t="shared" si="32"/>
        <v>-</v>
      </c>
      <c r="U55" s="785"/>
      <c r="V55" s="414">
        <f t="shared" si="39"/>
        <v>0</v>
      </c>
      <c r="W55" s="415">
        <f t="shared" si="40"/>
        <v>0</v>
      </c>
      <c r="X55" s="416">
        <f t="shared" si="37"/>
        <v>0</v>
      </c>
      <c r="Y55" s="196" t="str">
        <f t="shared" si="33"/>
        <v>-</v>
      </c>
      <c r="Z55" s="231"/>
      <c r="AA55" s="889">
        <v>720000</v>
      </c>
      <c r="AB55" s="416">
        <f t="shared" si="38"/>
        <v>720000</v>
      </c>
      <c r="AC55" s="901">
        <f t="shared" si="34"/>
        <v>1</v>
      </c>
      <c r="AD55" s="1164"/>
      <c r="AE55" s="1182"/>
    </row>
    <row r="56" spans="1:31" x14ac:dyDescent="0.3">
      <c r="A56" s="1096" t="s">
        <v>91</v>
      </c>
      <c r="B56" s="889">
        <v>11759.29</v>
      </c>
      <c r="C56" s="1042">
        <v>26987.780000000002</v>
      </c>
      <c r="D56" s="604">
        <f t="shared" si="35"/>
        <v>15228.490000000002</v>
      </c>
      <c r="E56" s="1278">
        <f t="shared" si="27"/>
        <v>1.2950178114495008</v>
      </c>
      <c r="F56" s="785"/>
      <c r="G56" s="396">
        <v>31732.11</v>
      </c>
      <c r="H56" s="1042">
        <v>34502.99</v>
      </c>
      <c r="I56" s="604">
        <f t="shared" si="36"/>
        <v>2770.8799999999974</v>
      </c>
      <c r="J56" s="1308">
        <f t="shared" si="28"/>
        <v>8.7321013320576457E-2</v>
      </c>
      <c r="K56" s="785"/>
      <c r="L56" s="604">
        <v>0</v>
      </c>
      <c r="M56" s="602">
        <v>7561.0700000000052</v>
      </c>
      <c r="N56" s="416">
        <f t="shared" si="29"/>
        <v>7561.0700000000052</v>
      </c>
      <c r="O56" s="196" t="str">
        <f t="shared" si="30"/>
        <v>-</v>
      </c>
      <c r="P56" s="230"/>
      <c r="Q56" s="426">
        <v>8508.6</v>
      </c>
      <c r="R56" s="427">
        <v>69431.64</v>
      </c>
      <c r="S56" s="416">
        <f t="shared" si="31"/>
        <v>60923.040000000001</v>
      </c>
      <c r="T56" s="197">
        <f t="shared" si="32"/>
        <v>7.1601720612086597</v>
      </c>
      <c r="U56" s="785"/>
      <c r="V56" s="414">
        <f t="shared" si="39"/>
        <v>52000</v>
      </c>
      <c r="W56" s="415">
        <f t="shared" si="40"/>
        <v>138483.48000000001</v>
      </c>
      <c r="X56" s="416">
        <f t="shared" si="37"/>
        <v>86483.48000000001</v>
      </c>
      <c r="Y56" s="196">
        <f t="shared" si="33"/>
        <v>1.6631438461538464</v>
      </c>
      <c r="Z56" s="231"/>
      <c r="AA56" s="889">
        <v>52000</v>
      </c>
      <c r="AB56" s="416">
        <f t="shared" si="38"/>
        <v>-86483.48000000001</v>
      </c>
      <c r="AC56" s="901">
        <f t="shared" si="34"/>
        <v>-1.6631438461538464</v>
      </c>
      <c r="AD56" s="1164"/>
      <c r="AE56" s="1180"/>
    </row>
    <row r="57" spans="1:31" x14ac:dyDescent="0.3">
      <c r="A57" s="1096" t="s">
        <v>92</v>
      </c>
      <c r="B57" s="889">
        <v>265280.23</v>
      </c>
      <c r="C57" s="1042">
        <v>92901.15</v>
      </c>
      <c r="D57" s="604">
        <f t="shared" si="35"/>
        <v>-172379.08</v>
      </c>
      <c r="E57" s="1278">
        <f t="shared" si="27"/>
        <v>-0.64979994928381957</v>
      </c>
      <c r="F57" s="785"/>
      <c r="G57" s="396">
        <v>247580.02000000002</v>
      </c>
      <c r="H57" s="1042">
        <v>116111.2</v>
      </c>
      <c r="I57" s="604">
        <f t="shared" si="36"/>
        <v>-131468.82</v>
      </c>
      <c r="J57" s="1308">
        <f t="shared" si="28"/>
        <v>-0.53101546724166193</v>
      </c>
      <c r="K57" s="785"/>
      <c r="L57" s="567">
        <v>245110.21000000002</v>
      </c>
      <c r="M57" s="427">
        <v>92901.150000000023</v>
      </c>
      <c r="N57" s="416">
        <f t="shared" si="29"/>
        <v>-152209.06</v>
      </c>
      <c r="O57" s="196">
        <f t="shared" si="30"/>
        <v>-0.62098212881462578</v>
      </c>
      <c r="P57" s="230"/>
      <c r="Q57" s="426">
        <v>249840.40000000002</v>
      </c>
      <c r="R57" s="427">
        <v>100360.19999999997</v>
      </c>
      <c r="S57" s="416">
        <f t="shared" si="31"/>
        <v>-149480.20000000007</v>
      </c>
      <c r="T57" s="197">
        <f t="shared" si="32"/>
        <v>-0.59830275647973685</v>
      </c>
      <c r="U57" s="785"/>
      <c r="V57" s="414">
        <f t="shared" si="39"/>
        <v>1007810.86</v>
      </c>
      <c r="W57" s="415">
        <f t="shared" si="40"/>
        <v>402273.69999999995</v>
      </c>
      <c r="X57" s="416">
        <f t="shared" si="37"/>
        <v>-605537.16</v>
      </c>
      <c r="Y57" s="196">
        <f t="shared" si="33"/>
        <v>-0.60084405123397866</v>
      </c>
      <c r="Z57" s="231"/>
      <c r="AA57" s="889">
        <v>1007811</v>
      </c>
      <c r="AB57" s="416">
        <f t="shared" si="38"/>
        <v>605537.30000000005</v>
      </c>
      <c r="AC57" s="901">
        <f t="shared" si="34"/>
        <v>0.6008441066827015</v>
      </c>
      <c r="AD57" s="1164"/>
      <c r="AE57" s="1180"/>
    </row>
    <row r="58" spans="1:31" x14ac:dyDescent="0.3">
      <c r="A58" s="1096" t="s">
        <v>93</v>
      </c>
      <c r="B58" s="889">
        <v>58569.39</v>
      </c>
      <c r="C58" s="1042">
        <v>7677.96</v>
      </c>
      <c r="D58" s="604">
        <f t="shared" si="35"/>
        <v>-50891.43</v>
      </c>
      <c r="E58" s="1278">
        <f t="shared" si="27"/>
        <v>-0.86890831541868541</v>
      </c>
      <c r="F58" s="785"/>
      <c r="G58" s="396">
        <v>43406.990000000005</v>
      </c>
      <c r="H58" s="1042">
        <v>17733.949999999997</v>
      </c>
      <c r="I58" s="604">
        <f t="shared" si="36"/>
        <v>-25673.040000000008</v>
      </c>
      <c r="J58" s="1308">
        <f t="shared" si="28"/>
        <v>-0.59144944166826596</v>
      </c>
      <c r="K58" s="785"/>
      <c r="L58" s="567">
        <v>34023.619999999995</v>
      </c>
      <c r="M58" s="427">
        <v>8992.94</v>
      </c>
      <c r="N58" s="416">
        <f t="shared" si="29"/>
        <v>-25030.679999999993</v>
      </c>
      <c r="O58" s="196">
        <f t="shared" si="30"/>
        <v>-0.73568538562328156</v>
      </c>
      <c r="P58" s="230"/>
      <c r="Q58" s="426">
        <v>22000</v>
      </c>
      <c r="R58" s="427">
        <v>16268.96</v>
      </c>
      <c r="S58" s="416">
        <f t="shared" si="31"/>
        <v>-5731.0400000000009</v>
      </c>
      <c r="T58" s="197">
        <f t="shared" si="32"/>
        <v>-0.26050181818181822</v>
      </c>
      <c r="U58" s="785"/>
      <c r="V58" s="414">
        <f t="shared" si="39"/>
        <v>158000</v>
      </c>
      <c r="W58" s="415">
        <f t="shared" si="40"/>
        <v>50673.81</v>
      </c>
      <c r="X58" s="416">
        <f t="shared" si="37"/>
        <v>-107326.19</v>
      </c>
      <c r="Y58" s="196">
        <f t="shared" si="33"/>
        <v>-0.67927968354430379</v>
      </c>
      <c r="Z58" s="231"/>
      <c r="AA58" s="889">
        <v>158000</v>
      </c>
      <c r="AB58" s="416">
        <f t="shared" si="38"/>
        <v>107326.19</v>
      </c>
      <c r="AC58" s="901">
        <f t="shared" si="34"/>
        <v>0.67927968354430379</v>
      </c>
      <c r="AD58" s="1164"/>
      <c r="AE58" s="1182"/>
    </row>
    <row r="59" spans="1:31" x14ac:dyDescent="0.3">
      <c r="A59" s="1096" t="s">
        <v>94</v>
      </c>
      <c r="B59" s="889">
        <v>0</v>
      </c>
      <c r="C59" s="416">
        <v>0</v>
      </c>
      <c r="D59" s="604">
        <f t="shared" si="35"/>
        <v>0</v>
      </c>
      <c r="E59" s="1278" t="str">
        <f t="shared" si="27"/>
        <v>-</v>
      </c>
      <c r="F59" s="785"/>
      <c r="G59" s="397">
        <v>0</v>
      </c>
      <c r="H59" s="416">
        <v>0</v>
      </c>
      <c r="I59" s="604">
        <f t="shared" si="36"/>
        <v>0</v>
      </c>
      <c r="J59" s="1308" t="str">
        <f t="shared" si="28"/>
        <v>-</v>
      </c>
      <c r="K59" s="785"/>
      <c r="L59" s="567">
        <v>0</v>
      </c>
      <c r="M59" s="427">
        <v>0</v>
      </c>
      <c r="N59" s="416">
        <f t="shared" si="29"/>
        <v>0</v>
      </c>
      <c r="O59" s="196" t="str">
        <f t="shared" si="30"/>
        <v>-</v>
      </c>
      <c r="P59" s="230"/>
      <c r="Q59" s="426">
        <v>0</v>
      </c>
      <c r="R59" s="426">
        <v>0</v>
      </c>
      <c r="S59" s="416">
        <f t="shared" si="31"/>
        <v>0</v>
      </c>
      <c r="T59" s="197" t="str">
        <f t="shared" si="32"/>
        <v>-</v>
      </c>
      <c r="U59" s="785"/>
      <c r="V59" s="414">
        <f t="shared" si="39"/>
        <v>0</v>
      </c>
      <c r="W59" s="415">
        <f t="shared" si="40"/>
        <v>0</v>
      </c>
      <c r="X59" s="416">
        <f t="shared" si="37"/>
        <v>0</v>
      </c>
      <c r="Y59" s="196" t="str">
        <f t="shared" si="33"/>
        <v>-</v>
      </c>
      <c r="Z59" s="231"/>
      <c r="AA59" s="889">
        <v>0</v>
      </c>
      <c r="AB59" s="416">
        <f t="shared" si="38"/>
        <v>0</v>
      </c>
      <c r="AC59" s="901" t="str">
        <f t="shared" si="34"/>
        <v>-</v>
      </c>
      <c r="AD59" s="1164"/>
      <c r="AE59" s="1182"/>
    </row>
    <row r="60" spans="1:31" x14ac:dyDescent="0.3">
      <c r="A60" s="1096" t="s">
        <v>95</v>
      </c>
      <c r="B60" s="889">
        <v>265385.52999999997</v>
      </c>
      <c r="C60" s="1042">
        <v>302262.02</v>
      </c>
      <c r="D60" s="604">
        <f t="shared" si="35"/>
        <v>36876.490000000049</v>
      </c>
      <c r="E60" s="1278">
        <f t="shared" si="27"/>
        <v>0.13895441096581285</v>
      </c>
      <c r="F60" s="783"/>
      <c r="G60" s="396">
        <v>355201.23</v>
      </c>
      <c r="H60" s="1042">
        <v>143281.04</v>
      </c>
      <c r="I60" s="604">
        <f t="shared" si="36"/>
        <v>-211920.18999999997</v>
      </c>
      <c r="J60" s="1308">
        <f t="shared" si="28"/>
        <v>-0.59662009053290721</v>
      </c>
      <c r="K60" s="783"/>
      <c r="L60" s="567">
        <v>333305.18</v>
      </c>
      <c r="M60" s="427">
        <v>125634.14999999998</v>
      </c>
      <c r="N60" s="416">
        <f t="shared" si="29"/>
        <v>-207671.03000000003</v>
      </c>
      <c r="O60" s="196">
        <f t="shared" si="30"/>
        <v>-0.6230657141302155</v>
      </c>
      <c r="P60" s="171"/>
      <c r="Q60" s="426">
        <v>384181.06000000006</v>
      </c>
      <c r="R60" s="427">
        <v>705217.21</v>
      </c>
      <c r="S60" s="416">
        <f t="shared" si="31"/>
        <v>321036.14999999991</v>
      </c>
      <c r="T60" s="197">
        <f t="shared" si="32"/>
        <v>0.83563762877847192</v>
      </c>
      <c r="U60" s="783"/>
      <c r="V60" s="414">
        <f t="shared" si="39"/>
        <v>1338073</v>
      </c>
      <c r="W60" s="415">
        <f t="shared" si="40"/>
        <v>1276394.42</v>
      </c>
      <c r="X60" s="416">
        <f t="shared" si="37"/>
        <v>-61678.580000000075</v>
      </c>
      <c r="Y60" s="196">
        <f t="shared" si="33"/>
        <v>-4.609507851963239E-2</v>
      </c>
      <c r="Z60" s="169"/>
      <c r="AA60" s="889">
        <v>1338073</v>
      </c>
      <c r="AB60" s="416">
        <f t="shared" si="38"/>
        <v>61678.580000000075</v>
      </c>
      <c r="AC60" s="901">
        <f t="shared" si="34"/>
        <v>4.609507851963239E-2</v>
      </c>
      <c r="AD60" s="1163"/>
      <c r="AE60" s="1321"/>
    </row>
    <row r="61" spans="1:31" x14ac:dyDescent="0.3">
      <c r="A61" s="1096" t="s">
        <v>96</v>
      </c>
      <c r="B61" s="889">
        <v>85986.7</v>
      </c>
      <c r="C61" s="1042">
        <v>28750.77</v>
      </c>
      <c r="D61" s="604">
        <f t="shared" si="35"/>
        <v>-57235.929999999993</v>
      </c>
      <c r="E61" s="1278">
        <f t="shared" si="27"/>
        <v>-0.66563701130523667</v>
      </c>
      <c r="F61" s="783"/>
      <c r="G61" s="396">
        <v>91548.050000000017</v>
      </c>
      <c r="H61" s="1042">
        <v>23095.82</v>
      </c>
      <c r="I61" s="604">
        <f t="shared" si="36"/>
        <v>-68452.23000000001</v>
      </c>
      <c r="J61" s="1308">
        <f t="shared" si="28"/>
        <v>-0.74771914857826027</v>
      </c>
      <c r="K61" s="783"/>
      <c r="L61" s="567">
        <v>91530.650000000009</v>
      </c>
      <c r="M61" s="427">
        <v>13667.19</v>
      </c>
      <c r="N61" s="416">
        <f t="shared" si="29"/>
        <v>-77863.460000000006</v>
      </c>
      <c r="O61" s="196">
        <f t="shared" si="30"/>
        <v>-0.85068182078899257</v>
      </c>
      <c r="P61" s="171"/>
      <c r="Q61" s="426">
        <v>93618.6</v>
      </c>
      <c r="R61" s="427">
        <v>40719.079999999994</v>
      </c>
      <c r="S61" s="416">
        <f t="shared" si="31"/>
        <v>-52899.520000000011</v>
      </c>
      <c r="T61" s="197">
        <f t="shared" si="32"/>
        <v>-0.56505352568827139</v>
      </c>
      <c r="U61" s="783"/>
      <c r="V61" s="414">
        <f t="shared" si="39"/>
        <v>362684</v>
      </c>
      <c r="W61" s="415">
        <f t="shared" si="40"/>
        <v>106232.85999999999</v>
      </c>
      <c r="X61" s="416">
        <f t="shared" si="37"/>
        <v>-256451.14</v>
      </c>
      <c r="Y61" s="196">
        <f t="shared" si="33"/>
        <v>-0.70709251028443498</v>
      </c>
      <c r="Z61" s="169"/>
      <c r="AA61" s="889">
        <v>362684</v>
      </c>
      <c r="AB61" s="416">
        <f t="shared" si="38"/>
        <v>256451.14</v>
      </c>
      <c r="AC61" s="901">
        <f t="shared" si="34"/>
        <v>0.70709251028443498</v>
      </c>
      <c r="AD61" s="1163"/>
      <c r="AE61" s="1182"/>
    </row>
    <row r="62" spans="1:31" x14ac:dyDescent="0.3">
      <c r="A62" s="1096" t="s">
        <v>110</v>
      </c>
      <c r="B62" s="889">
        <v>92242.09</v>
      </c>
      <c r="C62" s="1042">
        <v>17984.310000000005</v>
      </c>
      <c r="D62" s="604">
        <f t="shared" si="35"/>
        <v>-74257.78</v>
      </c>
      <c r="E62" s="1278">
        <f t="shared" si="27"/>
        <v>-0.80503141244956611</v>
      </c>
      <c r="F62" s="783"/>
      <c r="G62" s="396">
        <v>103388.77</v>
      </c>
      <c r="H62" s="1042">
        <v>150976.78000000003</v>
      </c>
      <c r="I62" s="604">
        <f t="shared" si="36"/>
        <v>47588.010000000024</v>
      </c>
      <c r="J62" s="1308">
        <f t="shared" si="28"/>
        <v>0.46028219505851575</v>
      </c>
      <c r="K62" s="783"/>
      <c r="L62" s="567">
        <v>139084.35999999999</v>
      </c>
      <c r="M62" s="427">
        <v>30608.13</v>
      </c>
      <c r="N62" s="416">
        <f t="shared" si="29"/>
        <v>-108476.22999999998</v>
      </c>
      <c r="O62" s="196">
        <f t="shared" si="30"/>
        <v>-0.77993118708674358</v>
      </c>
      <c r="P62" s="171"/>
      <c r="Q62" s="426">
        <v>103544.8</v>
      </c>
      <c r="R62" s="427">
        <v>159893.62999999998</v>
      </c>
      <c r="S62" s="416">
        <f t="shared" si="31"/>
        <v>56348.829999999973</v>
      </c>
      <c r="T62" s="197">
        <f t="shared" si="32"/>
        <v>0.54419758404091723</v>
      </c>
      <c r="U62" s="783"/>
      <c r="V62" s="414">
        <f t="shared" si="39"/>
        <v>438260.01999999996</v>
      </c>
      <c r="W62" s="415">
        <f t="shared" si="40"/>
        <v>359462.85</v>
      </c>
      <c r="X62" s="416">
        <f t="shared" si="37"/>
        <v>-78797.169999999984</v>
      </c>
      <c r="Y62" s="196">
        <f t="shared" si="33"/>
        <v>-0.17979547849242555</v>
      </c>
      <c r="Z62" s="169"/>
      <c r="AA62" s="889">
        <v>438260</v>
      </c>
      <c r="AB62" s="416">
        <f t="shared" si="38"/>
        <v>78797.150000000023</v>
      </c>
      <c r="AC62" s="901">
        <f t="shared" si="34"/>
        <v>0.17979544106238313</v>
      </c>
      <c r="AD62" s="1163"/>
      <c r="AE62" s="1182"/>
    </row>
    <row r="63" spans="1:31" x14ac:dyDescent="0.3">
      <c r="A63" s="1096" t="s">
        <v>124</v>
      </c>
      <c r="B63" s="889">
        <v>72594.83</v>
      </c>
      <c r="C63" s="1042">
        <v>26473.72</v>
      </c>
      <c r="D63" s="604">
        <f t="shared" si="35"/>
        <v>-46121.11</v>
      </c>
      <c r="E63" s="1278">
        <f t="shared" si="27"/>
        <v>-0.63532223988953485</v>
      </c>
      <c r="F63" s="783"/>
      <c r="G63" s="396">
        <v>57076.139999999992</v>
      </c>
      <c r="H63" s="1042">
        <v>30816.480000000003</v>
      </c>
      <c r="I63" s="604">
        <f t="shared" si="36"/>
        <v>-26259.659999999989</v>
      </c>
      <c r="J63" s="1308">
        <f t="shared" si="28"/>
        <v>-0.46008121782587247</v>
      </c>
      <c r="K63" s="783"/>
      <c r="L63" s="567">
        <v>77388.38</v>
      </c>
      <c r="M63" s="427">
        <v>23085.47</v>
      </c>
      <c r="N63" s="416">
        <f t="shared" si="29"/>
        <v>-54302.91</v>
      </c>
      <c r="O63" s="196">
        <f t="shared" si="30"/>
        <v>-0.70169332915354998</v>
      </c>
      <c r="P63" s="171"/>
      <c r="Q63" s="426">
        <v>66731.049999999988</v>
      </c>
      <c r="R63" s="427">
        <v>34403.290000000008</v>
      </c>
      <c r="S63" s="416">
        <f t="shared" si="31"/>
        <v>-32327.75999999998</v>
      </c>
      <c r="T63" s="197">
        <f t="shared" si="32"/>
        <v>-0.48444854381880675</v>
      </c>
      <c r="U63" s="783"/>
      <c r="V63" s="414">
        <f t="shared" si="39"/>
        <v>273790.40000000002</v>
      </c>
      <c r="W63" s="415">
        <f t="shared" si="40"/>
        <v>114778.96000000002</v>
      </c>
      <c r="X63" s="416">
        <f t="shared" si="37"/>
        <v>-159011.44</v>
      </c>
      <c r="Y63" s="196">
        <f t="shared" si="33"/>
        <v>-0.58077799659885809</v>
      </c>
      <c r="Z63" s="169"/>
      <c r="AA63" s="889">
        <v>273790</v>
      </c>
      <c r="AB63" s="416">
        <f t="shared" si="38"/>
        <v>159011.03999999998</v>
      </c>
      <c r="AC63" s="901">
        <f t="shared" si="34"/>
        <v>0.58077738412652025</v>
      </c>
      <c r="AD63" s="1163"/>
      <c r="AE63" s="1182"/>
    </row>
    <row r="64" spans="1:31" x14ac:dyDescent="0.3">
      <c r="A64" s="1096" t="s">
        <v>123</v>
      </c>
      <c r="B64" s="889">
        <v>0</v>
      </c>
      <c r="C64" s="416">
        <v>0</v>
      </c>
      <c r="D64" s="604">
        <f t="shared" si="35"/>
        <v>0</v>
      </c>
      <c r="E64" s="1278" t="str">
        <f t="shared" si="27"/>
        <v>-</v>
      </c>
      <c r="F64" s="785"/>
      <c r="G64" s="397">
        <v>0</v>
      </c>
      <c r="H64" s="416">
        <v>0</v>
      </c>
      <c r="I64" s="604">
        <f t="shared" si="36"/>
        <v>0</v>
      </c>
      <c r="J64" s="1308" t="str">
        <f t="shared" si="28"/>
        <v>-</v>
      </c>
      <c r="K64" s="785"/>
      <c r="L64" s="567">
        <v>0</v>
      </c>
      <c r="M64" s="427">
        <v>0</v>
      </c>
      <c r="N64" s="416">
        <f t="shared" si="29"/>
        <v>0</v>
      </c>
      <c r="O64" s="196" t="str">
        <f t="shared" si="30"/>
        <v>-</v>
      </c>
      <c r="P64" s="230"/>
      <c r="Q64" s="426">
        <v>0</v>
      </c>
      <c r="R64" s="426">
        <v>0</v>
      </c>
      <c r="S64" s="416">
        <f t="shared" si="31"/>
        <v>0</v>
      </c>
      <c r="T64" s="197" t="str">
        <f t="shared" si="32"/>
        <v>-</v>
      </c>
      <c r="U64" s="785"/>
      <c r="V64" s="414">
        <f t="shared" si="39"/>
        <v>0</v>
      </c>
      <c r="W64" s="415">
        <f t="shared" si="40"/>
        <v>0</v>
      </c>
      <c r="X64" s="416">
        <f t="shared" si="37"/>
        <v>0</v>
      </c>
      <c r="Y64" s="196" t="str">
        <f t="shared" si="33"/>
        <v>-</v>
      </c>
      <c r="Z64" s="231"/>
      <c r="AA64" s="889">
        <v>0</v>
      </c>
      <c r="AB64" s="416">
        <f t="shared" si="38"/>
        <v>0</v>
      </c>
      <c r="AC64" s="901" t="str">
        <f t="shared" si="34"/>
        <v>-</v>
      </c>
      <c r="AD64" s="1164"/>
      <c r="AE64" s="1182"/>
    </row>
    <row r="65" spans="1:31" x14ac:dyDescent="0.3">
      <c r="A65" s="1096" t="s">
        <v>122</v>
      </c>
      <c r="B65" s="889">
        <v>441243.35000000003</v>
      </c>
      <c r="C65" s="1042">
        <v>335416.32000000001</v>
      </c>
      <c r="D65" s="604">
        <f t="shared" si="35"/>
        <v>-105827.03000000003</v>
      </c>
      <c r="E65" s="1278">
        <f t="shared" si="27"/>
        <v>-0.2398382434545473</v>
      </c>
      <c r="F65" s="785"/>
      <c r="G65" s="396">
        <v>451888.74</v>
      </c>
      <c r="H65" s="1042">
        <v>342819.15</v>
      </c>
      <c r="I65" s="604">
        <f t="shared" si="36"/>
        <v>-109069.58999999997</v>
      </c>
      <c r="J65" s="1308">
        <f t="shared" si="28"/>
        <v>-0.24136381446459579</v>
      </c>
      <c r="K65" s="785"/>
      <c r="L65" s="567">
        <v>488992.15</v>
      </c>
      <c r="M65" s="427">
        <v>288022.84999999992</v>
      </c>
      <c r="N65" s="416">
        <f t="shared" si="29"/>
        <v>-200969.3000000001</v>
      </c>
      <c r="O65" s="196">
        <f t="shared" si="30"/>
        <v>-0.41098676123941885</v>
      </c>
      <c r="P65" s="230"/>
      <c r="Q65" s="426">
        <v>449086.95</v>
      </c>
      <c r="R65" s="427">
        <v>299054.66000000003</v>
      </c>
      <c r="S65" s="416">
        <f t="shared" si="31"/>
        <v>-150032.28999999998</v>
      </c>
      <c r="T65" s="197">
        <f t="shared" si="32"/>
        <v>-0.33408294318060228</v>
      </c>
      <c r="U65" s="785"/>
      <c r="V65" s="414">
        <f t="shared" si="39"/>
        <v>1831211.1900000002</v>
      </c>
      <c r="W65" s="415">
        <f t="shared" si="40"/>
        <v>1265312.98</v>
      </c>
      <c r="X65" s="416">
        <f t="shared" si="37"/>
        <v>-565898.2100000002</v>
      </c>
      <c r="Y65" s="196">
        <f t="shared" si="33"/>
        <v>-0.3090294626257718</v>
      </c>
      <c r="Z65" s="231"/>
      <c r="AA65" s="889">
        <v>1831211</v>
      </c>
      <c r="AB65" s="416">
        <f t="shared" si="38"/>
        <v>565898.02</v>
      </c>
      <c r="AC65" s="901">
        <f t="shared" si="34"/>
        <v>0.30902939093310383</v>
      </c>
      <c r="AD65" s="1164"/>
      <c r="AE65" s="1180"/>
    </row>
    <row r="66" spans="1:31" x14ac:dyDescent="0.3">
      <c r="A66" s="1096" t="s">
        <v>114</v>
      </c>
      <c r="B66" s="889">
        <v>7278.93</v>
      </c>
      <c r="C66" s="1042">
        <v>954.32</v>
      </c>
      <c r="D66" s="604">
        <f t="shared" si="35"/>
        <v>-6324.6100000000006</v>
      </c>
      <c r="E66" s="1278">
        <f t="shared" si="27"/>
        <v>-0.86889281803781604</v>
      </c>
      <c r="F66" s="785"/>
      <c r="G66" s="396">
        <v>12452.130000000001</v>
      </c>
      <c r="H66" s="1042">
        <v>2007.4799999999996</v>
      </c>
      <c r="I66" s="604">
        <f t="shared" si="36"/>
        <v>-10444.650000000001</v>
      </c>
      <c r="J66" s="1308">
        <f t="shared" si="28"/>
        <v>-0.83878420800296827</v>
      </c>
      <c r="K66" s="785"/>
      <c r="L66" s="567">
        <v>2993.9700000000003</v>
      </c>
      <c r="M66" s="427">
        <v>31581.370000000003</v>
      </c>
      <c r="N66" s="416">
        <f t="shared" si="29"/>
        <v>28587.4</v>
      </c>
      <c r="O66" s="196">
        <f t="shared" si="30"/>
        <v>9.5483254675230551</v>
      </c>
      <c r="P66" s="230"/>
      <c r="Q66" s="426">
        <v>4650.97</v>
      </c>
      <c r="R66" s="427">
        <v>33177.759999999995</v>
      </c>
      <c r="S66" s="416">
        <f t="shared" si="31"/>
        <v>28526.789999999994</v>
      </c>
      <c r="T66" s="197">
        <f t="shared" si="32"/>
        <v>6.1335140841587865</v>
      </c>
      <c r="U66" s="785"/>
      <c r="V66" s="414">
        <f t="shared" si="39"/>
        <v>27376.000000000004</v>
      </c>
      <c r="W66" s="415">
        <f t="shared" si="40"/>
        <v>67720.929999999993</v>
      </c>
      <c r="X66" s="416">
        <f t="shared" si="37"/>
        <v>40344.929999999993</v>
      </c>
      <c r="Y66" s="196">
        <f t="shared" si="33"/>
        <v>1.4737335622443011</v>
      </c>
      <c r="Z66" s="231"/>
      <c r="AA66" s="889">
        <v>27376</v>
      </c>
      <c r="AB66" s="416">
        <f t="shared" si="38"/>
        <v>-40344.929999999993</v>
      </c>
      <c r="AC66" s="901">
        <f t="shared" si="34"/>
        <v>-1.4737335622443013</v>
      </c>
      <c r="AD66" s="1164"/>
      <c r="AE66" s="1182"/>
    </row>
    <row r="67" spans="1:31" x14ac:dyDescent="0.3">
      <c r="A67" s="1096" t="s">
        <v>115</v>
      </c>
      <c r="B67" s="889">
        <v>32136.06</v>
      </c>
      <c r="C67" s="1042">
        <v>28387.380000000005</v>
      </c>
      <c r="D67" s="604">
        <f t="shared" si="35"/>
        <v>-3748.6799999999967</v>
      </c>
      <c r="E67" s="1278">
        <f t="shared" si="27"/>
        <v>-0.11665026764326418</v>
      </c>
      <c r="F67" s="783"/>
      <c r="G67" s="396">
        <v>32136.06</v>
      </c>
      <c r="H67" s="1042">
        <v>28387.380000000005</v>
      </c>
      <c r="I67" s="604">
        <f t="shared" si="36"/>
        <v>-3748.6799999999967</v>
      </c>
      <c r="J67" s="1308">
        <f t="shared" si="28"/>
        <v>-0.11665026764326418</v>
      </c>
      <c r="K67" s="783"/>
      <c r="L67" s="567">
        <v>42371.97</v>
      </c>
      <c r="M67" s="427">
        <v>28387.380000000005</v>
      </c>
      <c r="N67" s="416">
        <f t="shared" si="29"/>
        <v>-13984.589999999997</v>
      </c>
      <c r="O67" s="196">
        <f t="shared" si="30"/>
        <v>-0.33004342257393265</v>
      </c>
      <c r="P67" s="171"/>
      <c r="Q67" s="426">
        <v>31421.909999999996</v>
      </c>
      <c r="R67" s="427">
        <v>28387.380000000005</v>
      </c>
      <c r="S67" s="416">
        <f t="shared" si="31"/>
        <v>-3034.5299999999916</v>
      </c>
      <c r="T67" s="197">
        <f t="shared" si="32"/>
        <v>-9.6573696506672954E-2</v>
      </c>
      <c r="U67" s="783"/>
      <c r="V67" s="414">
        <f t="shared" si="39"/>
        <v>138066</v>
      </c>
      <c r="W67" s="415">
        <f t="shared" si="40"/>
        <v>113549.52000000002</v>
      </c>
      <c r="X67" s="416">
        <f t="shared" si="37"/>
        <v>-24516.479999999981</v>
      </c>
      <c r="Y67" s="196">
        <f t="shared" si="33"/>
        <v>-0.1775707270435877</v>
      </c>
      <c r="Z67" s="169"/>
      <c r="AA67" s="889">
        <v>138066</v>
      </c>
      <c r="AB67" s="416">
        <f t="shared" si="38"/>
        <v>24516.479999999981</v>
      </c>
      <c r="AC67" s="901">
        <f t="shared" si="34"/>
        <v>0.1775707270435877</v>
      </c>
      <c r="AD67" s="1163"/>
      <c r="AE67" s="1180"/>
    </row>
    <row r="68" spans="1:31" x14ac:dyDescent="0.3">
      <c r="A68" s="1096" t="s">
        <v>121</v>
      </c>
      <c r="B68" s="889">
        <v>0</v>
      </c>
      <c r="C68" s="416">
        <v>0</v>
      </c>
      <c r="D68" s="604">
        <f t="shared" si="35"/>
        <v>0</v>
      </c>
      <c r="E68" s="1278" t="str">
        <f>IF(ISERROR(D68/B68),"-",D68/B68)</f>
        <v>-</v>
      </c>
      <c r="F68" s="785"/>
      <c r="G68" s="397">
        <v>0</v>
      </c>
      <c r="H68" s="416">
        <v>0</v>
      </c>
      <c r="I68" s="604">
        <f t="shared" si="36"/>
        <v>0</v>
      </c>
      <c r="J68" s="1308" t="str">
        <f t="shared" si="28"/>
        <v>-</v>
      </c>
      <c r="K68" s="785"/>
      <c r="L68" s="567">
        <v>0</v>
      </c>
      <c r="M68" s="427">
        <v>0</v>
      </c>
      <c r="N68" s="416">
        <f t="shared" si="29"/>
        <v>0</v>
      </c>
      <c r="O68" s="196" t="str">
        <f t="shared" si="30"/>
        <v>-</v>
      </c>
      <c r="P68" s="230"/>
      <c r="Q68" s="426">
        <v>0</v>
      </c>
      <c r="R68" s="426">
        <v>0</v>
      </c>
      <c r="S68" s="416">
        <f t="shared" si="31"/>
        <v>0</v>
      </c>
      <c r="T68" s="197" t="str">
        <f t="shared" si="32"/>
        <v>-</v>
      </c>
      <c r="U68" s="785"/>
      <c r="V68" s="414">
        <f>B68+G68+L68+Q68</f>
        <v>0</v>
      </c>
      <c r="W68" s="415">
        <f>C68+H68+M68+R68</f>
        <v>0</v>
      </c>
      <c r="X68" s="416">
        <f t="shared" si="37"/>
        <v>0</v>
      </c>
      <c r="Y68" s="196" t="str">
        <f t="shared" si="33"/>
        <v>-</v>
      </c>
      <c r="Z68" s="231"/>
      <c r="AA68" s="889">
        <v>0</v>
      </c>
      <c r="AB68" s="416">
        <f t="shared" si="38"/>
        <v>0</v>
      </c>
      <c r="AC68" s="901" t="str">
        <f t="shared" si="34"/>
        <v>-</v>
      </c>
      <c r="AD68" s="1164"/>
      <c r="AE68" s="1180"/>
    </row>
    <row r="69" spans="1:31" x14ac:dyDescent="0.3">
      <c r="A69" s="1096" t="s">
        <v>97</v>
      </c>
      <c r="B69" s="889">
        <v>259415.69000000003</v>
      </c>
      <c r="C69" s="1042">
        <v>251810.34000000003</v>
      </c>
      <c r="D69" s="604">
        <f t="shared" si="35"/>
        <v>-7605.3500000000058</v>
      </c>
      <c r="E69" s="1278">
        <f t="shared" si="27"/>
        <v>-2.9317232122698534E-2</v>
      </c>
      <c r="F69" s="785"/>
      <c r="G69" s="396">
        <v>102433.79000000001</v>
      </c>
      <c r="H69" s="1042">
        <v>75655.289999999979</v>
      </c>
      <c r="I69" s="604">
        <f t="shared" si="36"/>
        <v>-26778.500000000029</v>
      </c>
      <c r="J69" s="1308">
        <f t="shared" si="28"/>
        <v>-0.2614225247352463</v>
      </c>
      <c r="K69" s="785"/>
      <c r="L69" s="567">
        <v>82561.350000000006</v>
      </c>
      <c r="M69" s="427">
        <v>50220.239999999991</v>
      </c>
      <c r="N69" s="416">
        <f t="shared" si="29"/>
        <v>-32341.110000000015</v>
      </c>
      <c r="O69" s="196">
        <f t="shared" si="30"/>
        <v>-0.3917221557060297</v>
      </c>
      <c r="P69" s="230"/>
      <c r="Q69" s="426">
        <v>79962.17</v>
      </c>
      <c r="R69" s="427">
        <v>75655.290000000037</v>
      </c>
      <c r="S69" s="416">
        <f t="shared" si="31"/>
        <v>-4306.879999999961</v>
      </c>
      <c r="T69" s="197">
        <f t="shared" si="32"/>
        <v>-5.3861469742503998E-2</v>
      </c>
      <c r="U69" s="785"/>
      <c r="V69" s="414">
        <f t="shared" si="39"/>
        <v>524373.00000000012</v>
      </c>
      <c r="W69" s="415">
        <f t="shared" si="40"/>
        <v>453341.16000000003</v>
      </c>
      <c r="X69" s="416">
        <f t="shared" si="37"/>
        <v>-71031.840000000084</v>
      </c>
      <c r="Y69" s="196">
        <f t="shared" si="33"/>
        <v>-0.13546052142272785</v>
      </c>
      <c r="Z69" s="231"/>
      <c r="AA69" s="889">
        <v>524373</v>
      </c>
      <c r="AB69" s="416">
        <f t="shared" si="38"/>
        <v>71031.839999999967</v>
      </c>
      <c r="AC69" s="901">
        <f t="shared" si="34"/>
        <v>0.13546052142272766</v>
      </c>
      <c r="AD69" s="1164"/>
      <c r="AE69" s="1182"/>
    </row>
    <row r="70" spans="1:31" x14ac:dyDescent="0.3">
      <c r="A70" s="1096" t="s">
        <v>98</v>
      </c>
      <c r="B70" s="889">
        <v>1200</v>
      </c>
      <c r="C70" s="1042">
        <v>0</v>
      </c>
      <c r="D70" s="604">
        <f t="shared" si="35"/>
        <v>-1200</v>
      </c>
      <c r="E70" s="1278">
        <f t="shared" si="27"/>
        <v>-1</v>
      </c>
      <c r="F70" s="783"/>
      <c r="G70" s="396">
        <v>1200</v>
      </c>
      <c r="H70" s="1042">
        <v>0</v>
      </c>
      <c r="I70" s="604">
        <f t="shared" si="36"/>
        <v>-1200</v>
      </c>
      <c r="J70" s="1308">
        <f t="shared" si="28"/>
        <v>-1</v>
      </c>
      <c r="K70" s="783"/>
      <c r="L70" s="567">
        <v>0</v>
      </c>
      <c r="M70" s="427">
        <v>0</v>
      </c>
      <c r="N70" s="416">
        <f t="shared" si="29"/>
        <v>0</v>
      </c>
      <c r="O70" s="196" t="str">
        <f t="shared" si="30"/>
        <v>-</v>
      </c>
      <c r="P70" s="171"/>
      <c r="Q70" s="426">
        <v>0</v>
      </c>
      <c r="R70" s="427">
        <v>0</v>
      </c>
      <c r="S70" s="416">
        <f t="shared" si="31"/>
        <v>0</v>
      </c>
      <c r="T70" s="197" t="str">
        <f t="shared" si="32"/>
        <v>-</v>
      </c>
      <c r="U70" s="783"/>
      <c r="V70" s="414">
        <f t="shared" si="39"/>
        <v>2400</v>
      </c>
      <c r="W70" s="415">
        <f t="shared" si="40"/>
        <v>0</v>
      </c>
      <c r="X70" s="416">
        <f t="shared" si="37"/>
        <v>-2400</v>
      </c>
      <c r="Y70" s="196">
        <f t="shared" si="33"/>
        <v>-1</v>
      </c>
      <c r="Z70" s="169"/>
      <c r="AA70" s="889">
        <v>2400</v>
      </c>
      <c r="AB70" s="416">
        <f t="shared" si="38"/>
        <v>2400</v>
      </c>
      <c r="AC70" s="901">
        <f t="shared" si="34"/>
        <v>1</v>
      </c>
      <c r="AD70" s="1163"/>
      <c r="AE70" s="1182"/>
    </row>
    <row r="71" spans="1:31" x14ac:dyDescent="0.3">
      <c r="A71" s="1096" t="s">
        <v>116</v>
      </c>
      <c r="B71" s="889">
        <v>53499.990000000005</v>
      </c>
      <c r="C71" s="1042">
        <v>0</v>
      </c>
      <c r="D71" s="604">
        <f t="shared" si="35"/>
        <v>-53499.990000000005</v>
      </c>
      <c r="E71" s="1278">
        <f t="shared" si="27"/>
        <v>-1</v>
      </c>
      <c r="F71" s="785"/>
      <c r="G71" s="396">
        <v>53499.990000000005</v>
      </c>
      <c r="H71" s="1042">
        <v>0</v>
      </c>
      <c r="I71" s="604">
        <f t="shared" si="36"/>
        <v>-53499.990000000005</v>
      </c>
      <c r="J71" s="1308">
        <f t="shared" si="28"/>
        <v>-1</v>
      </c>
      <c r="K71" s="785"/>
      <c r="L71" s="567">
        <v>53500</v>
      </c>
      <c r="M71" s="427">
        <v>1847.33</v>
      </c>
      <c r="N71" s="416">
        <f t="shared" si="29"/>
        <v>-51652.67</v>
      </c>
      <c r="O71" s="196">
        <f t="shared" si="30"/>
        <v>-0.96547046728971964</v>
      </c>
      <c r="P71" s="230"/>
      <c r="Q71" s="426">
        <v>53500.020000000004</v>
      </c>
      <c r="R71" s="427">
        <v>0</v>
      </c>
      <c r="S71" s="416">
        <f t="shared" si="31"/>
        <v>-53500.020000000004</v>
      </c>
      <c r="T71" s="197">
        <f t="shared" si="32"/>
        <v>-1</v>
      </c>
      <c r="U71" s="785"/>
      <c r="V71" s="414">
        <f t="shared" si="39"/>
        <v>214000</v>
      </c>
      <c r="W71" s="415">
        <f t="shared" si="40"/>
        <v>1847.33</v>
      </c>
      <c r="X71" s="416">
        <f t="shared" si="37"/>
        <v>-212152.67</v>
      </c>
      <c r="Y71" s="196">
        <f t="shared" si="33"/>
        <v>-0.99136761682243002</v>
      </c>
      <c r="Z71" s="231"/>
      <c r="AA71" s="889">
        <v>214000</v>
      </c>
      <c r="AB71" s="416">
        <f t="shared" si="38"/>
        <v>212152.67</v>
      </c>
      <c r="AC71" s="901">
        <f t="shared" si="34"/>
        <v>0.99136761682243002</v>
      </c>
      <c r="AD71" s="1164"/>
      <c r="AE71" s="1182"/>
    </row>
    <row r="72" spans="1:31" x14ac:dyDescent="0.3">
      <c r="A72" s="1096" t="s">
        <v>99</v>
      </c>
      <c r="B72" s="889">
        <v>136406.03</v>
      </c>
      <c r="C72" s="1042">
        <v>93283.170000000013</v>
      </c>
      <c r="D72" s="604">
        <f t="shared" si="35"/>
        <v>-43122.859999999986</v>
      </c>
      <c r="E72" s="1278">
        <f t="shared" si="27"/>
        <v>-0.3161360241918923</v>
      </c>
      <c r="F72" s="783"/>
      <c r="G72" s="396">
        <v>122796.4</v>
      </c>
      <c r="H72" s="1042">
        <v>52656.059999999983</v>
      </c>
      <c r="I72" s="604">
        <f t="shared" si="36"/>
        <v>-70140.340000000011</v>
      </c>
      <c r="J72" s="1308">
        <f t="shared" si="28"/>
        <v>-0.5711921522129314</v>
      </c>
      <c r="K72" s="783"/>
      <c r="L72" s="567">
        <v>117518.72</v>
      </c>
      <c r="M72" s="427">
        <v>120496.18000000001</v>
      </c>
      <c r="N72" s="416">
        <f t="shared" si="29"/>
        <v>2977.4600000000064</v>
      </c>
      <c r="O72" s="196">
        <f t="shared" si="30"/>
        <v>2.533604858868448E-2</v>
      </c>
      <c r="P72" s="171"/>
      <c r="Q72" s="426">
        <v>140398.85</v>
      </c>
      <c r="R72" s="427">
        <v>155667.57</v>
      </c>
      <c r="S72" s="416">
        <f t="shared" si="31"/>
        <v>15268.720000000001</v>
      </c>
      <c r="T72" s="197">
        <f t="shared" si="32"/>
        <v>0.10875245773024494</v>
      </c>
      <c r="U72" s="783"/>
      <c r="V72" s="414">
        <f t="shared" si="39"/>
        <v>517120</v>
      </c>
      <c r="W72" s="415">
        <f t="shared" si="40"/>
        <v>422102.98</v>
      </c>
      <c r="X72" s="416">
        <f t="shared" si="37"/>
        <v>-95017.020000000019</v>
      </c>
      <c r="Y72" s="196">
        <f t="shared" si="33"/>
        <v>-0.18374269028465351</v>
      </c>
      <c r="Z72" s="169"/>
      <c r="AA72" s="889">
        <v>517120</v>
      </c>
      <c r="AB72" s="416">
        <f t="shared" si="38"/>
        <v>95017.020000000019</v>
      </c>
      <c r="AC72" s="901">
        <f t="shared" si="34"/>
        <v>0.18374269028465351</v>
      </c>
      <c r="AD72" s="1163"/>
      <c r="AE72" s="1182"/>
    </row>
    <row r="73" spans="1:31" x14ac:dyDescent="0.3">
      <c r="A73" s="1096" t="s">
        <v>100</v>
      </c>
      <c r="B73" s="889">
        <v>19651.5</v>
      </c>
      <c r="C73" s="1042">
        <v>7917.0699999999988</v>
      </c>
      <c r="D73" s="604">
        <f t="shared" si="35"/>
        <v>-11734.43</v>
      </c>
      <c r="E73" s="1278">
        <f t="shared" si="27"/>
        <v>-0.59712642800804017</v>
      </c>
      <c r="F73" s="785"/>
      <c r="G73" s="396">
        <v>37870.17</v>
      </c>
      <c r="H73" s="1042">
        <v>14638.89</v>
      </c>
      <c r="I73" s="604">
        <f>H73-G73</f>
        <v>-23231.279999999999</v>
      </c>
      <c r="J73" s="1308">
        <f t="shared" si="28"/>
        <v>-0.6134453581803303</v>
      </c>
      <c r="K73" s="785"/>
      <c r="L73" s="567">
        <v>40975.58</v>
      </c>
      <c r="M73" s="427">
        <v>51047.77</v>
      </c>
      <c r="N73" s="416">
        <f t="shared" si="29"/>
        <v>10072.189999999995</v>
      </c>
      <c r="O73" s="196">
        <f t="shared" si="30"/>
        <v>0.24580957731409769</v>
      </c>
      <c r="P73" s="230"/>
      <c r="Q73" s="426">
        <v>41902.750000000007</v>
      </c>
      <c r="R73" s="427">
        <v>1199.0600000000059</v>
      </c>
      <c r="S73" s="416">
        <f t="shared" si="31"/>
        <v>-40703.69</v>
      </c>
      <c r="T73" s="197"/>
      <c r="U73" s="785"/>
      <c r="V73" s="414">
        <f t="shared" si="39"/>
        <v>140400</v>
      </c>
      <c r="W73" s="415">
        <f t="shared" si="40"/>
        <v>74802.790000000008</v>
      </c>
      <c r="X73" s="416">
        <f t="shared" si="37"/>
        <v>-65597.209999999992</v>
      </c>
      <c r="Y73" s="196">
        <f t="shared" si="33"/>
        <v>-0.46721659544159538</v>
      </c>
      <c r="Z73" s="231"/>
      <c r="AA73" s="889">
        <v>140400</v>
      </c>
      <c r="AB73" s="416">
        <f t="shared" si="38"/>
        <v>65597.209999999992</v>
      </c>
      <c r="AC73" s="901">
        <f t="shared" si="34"/>
        <v>0.46721659544159538</v>
      </c>
      <c r="AD73" s="1164"/>
      <c r="AE73" s="1180"/>
    </row>
    <row r="74" spans="1:31" x14ac:dyDescent="0.3">
      <c r="A74" s="1271" t="s">
        <v>101</v>
      </c>
      <c r="B74" s="889">
        <v>362294.44999999995</v>
      </c>
      <c r="C74" s="1042">
        <v>340320.65</v>
      </c>
      <c r="D74" s="604">
        <f t="shared" si="35"/>
        <v>-21973.79999999993</v>
      </c>
      <c r="E74" s="1278">
        <f t="shared" si="27"/>
        <v>-6.0651770955917027E-2</v>
      </c>
      <c r="F74" s="783"/>
      <c r="G74" s="396">
        <v>398783.27</v>
      </c>
      <c r="H74" s="1042">
        <v>345210.27</v>
      </c>
      <c r="I74" s="604">
        <f>H74-G74</f>
        <v>-53573</v>
      </c>
      <c r="J74" s="1308">
        <f t="shared" si="28"/>
        <v>-0.13434114224500943</v>
      </c>
      <c r="K74" s="783"/>
      <c r="L74" s="567">
        <v>468728.15</v>
      </c>
      <c r="M74" s="427">
        <v>383751.27</v>
      </c>
      <c r="N74" s="416">
        <f t="shared" si="29"/>
        <v>-84976.88</v>
      </c>
      <c r="O74" s="196">
        <f t="shared" si="30"/>
        <v>-0.18129246131259666</v>
      </c>
      <c r="P74" s="171"/>
      <c r="Q74" s="426">
        <v>380921.16999999993</v>
      </c>
      <c r="R74" s="427">
        <v>463138.3600000001</v>
      </c>
      <c r="S74" s="416">
        <f t="shared" si="31"/>
        <v>82217.190000000177</v>
      </c>
      <c r="T74" s="197">
        <f>IF(ISERROR(S74/Q74),"-",S74/Q74)</f>
        <v>0.21583780707173664</v>
      </c>
      <c r="U74" s="783"/>
      <c r="V74" s="414">
        <f t="shared" si="39"/>
        <v>1610727.04</v>
      </c>
      <c r="W74" s="415">
        <f t="shared" si="40"/>
        <v>1532420.55</v>
      </c>
      <c r="X74" s="416">
        <f t="shared" si="37"/>
        <v>-78306.489999999991</v>
      </c>
      <c r="Y74" s="196">
        <f t="shared" si="33"/>
        <v>-4.8615617702674183E-2</v>
      </c>
      <c r="Z74" s="169"/>
      <c r="AA74" s="889">
        <v>1610727</v>
      </c>
      <c r="AB74" s="416">
        <f t="shared" si="38"/>
        <v>78306.449999999953</v>
      </c>
      <c r="AC74" s="901">
        <f t="shared" si="34"/>
        <v>4.8615594076463584E-2</v>
      </c>
      <c r="AD74" s="1163"/>
      <c r="AE74" s="1180"/>
    </row>
    <row r="75" spans="1:31" x14ac:dyDescent="0.3">
      <c r="A75" s="1272" t="s">
        <v>120</v>
      </c>
      <c r="B75" s="889">
        <v>0</v>
      </c>
      <c r="C75" s="416">
        <v>0</v>
      </c>
      <c r="D75" s="604">
        <f t="shared" si="35"/>
        <v>0</v>
      </c>
      <c r="E75" s="1278" t="str">
        <f t="shared" si="27"/>
        <v>-</v>
      </c>
      <c r="F75" s="783"/>
      <c r="G75" s="397">
        <v>0</v>
      </c>
      <c r="H75" s="416">
        <v>0</v>
      </c>
      <c r="I75" s="604">
        <f t="shared" si="36"/>
        <v>0</v>
      </c>
      <c r="J75" s="1308" t="str">
        <f t="shared" si="28"/>
        <v>-</v>
      </c>
      <c r="K75" s="783"/>
      <c r="L75" s="567">
        <v>0</v>
      </c>
      <c r="M75" s="427">
        <v>0</v>
      </c>
      <c r="N75" s="416">
        <f t="shared" si="29"/>
        <v>0</v>
      </c>
      <c r="O75" s="196" t="str">
        <f t="shared" si="30"/>
        <v>-</v>
      </c>
      <c r="P75" s="171"/>
      <c r="Q75" s="426">
        <v>0</v>
      </c>
      <c r="R75" s="426">
        <v>0</v>
      </c>
      <c r="S75" s="416">
        <f t="shared" si="31"/>
        <v>0</v>
      </c>
      <c r="T75" s="197" t="str">
        <f>IF(ISERROR(S75/Q75),"-",S75/Q75)</f>
        <v>-</v>
      </c>
      <c r="U75" s="783"/>
      <c r="V75" s="414">
        <f t="shared" si="39"/>
        <v>0</v>
      </c>
      <c r="W75" s="415">
        <f t="shared" si="40"/>
        <v>0</v>
      </c>
      <c r="X75" s="416">
        <f t="shared" si="37"/>
        <v>0</v>
      </c>
      <c r="Y75" s="196" t="str">
        <f t="shared" si="33"/>
        <v>-</v>
      </c>
      <c r="Z75" s="169"/>
      <c r="AA75" s="889">
        <v>0</v>
      </c>
      <c r="AB75" s="416">
        <f t="shared" si="38"/>
        <v>0</v>
      </c>
      <c r="AC75" s="901" t="str">
        <f t="shared" si="34"/>
        <v>-</v>
      </c>
      <c r="AD75" s="1163"/>
      <c r="AE75" s="1180"/>
    </row>
    <row r="76" spans="1:31" x14ac:dyDescent="0.3">
      <c r="A76" s="1265" t="s">
        <v>102</v>
      </c>
      <c r="B76" s="1046">
        <f>SUM(B43:B75)</f>
        <v>2694633.04</v>
      </c>
      <c r="C76" s="1232">
        <f>SUM(C43:C75)</f>
        <v>1664890.25</v>
      </c>
      <c r="D76" s="1227">
        <f>SUM(D43:D75)</f>
        <v>-1029742.7899999999</v>
      </c>
      <c r="E76" s="1219">
        <f t="shared" si="27"/>
        <v>-0.38214583385350309</v>
      </c>
      <c r="F76" s="784"/>
      <c r="G76" s="1063">
        <f>SUM(G43:G75)</f>
        <v>2653481.42</v>
      </c>
      <c r="H76" s="1232">
        <f>SUM(H43:H75)</f>
        <v>1438565.06</v>
      </c>
      <c r="I76" s="1305">
        <f>SUM(I43:I75)</f>
        <v>-1214916.3600000001</v>
      </c>
      <c r="J76" s="1298">
        <f>IF(ISERROR(I76/G76),"-",I76/G76)</f>
        <v>-0.45785749651113072</v>
      </c>
      <c r="K76" s="784"/>
      <c r="L76" s="565">
        <f>SUM(L43:L75)</f>
        <v>2744191.55</v>
      </c>
      <c r="M76" s="433">
        <f>SUM(M43:M75)</f>
        <v>1455935.55</v>
      </c>
      <c r="N76" s="433">
        <f>SUM(N43:N75)</f>
        <v>-1288256.0000000005</v>
      </c>
      <c r="O76" s="211">
        <f>IF(ISERROR(N76/L76),"-",N76/L76)</f>
        <v>-0.4694482788564816</v>
      </c>
      <c r="P76" s="178"/>
      <c r="Q76" s="432">
        <f>SUM(Q43:Q75)</f>
        <v>2648280.56</v>
      </c>
      <c r="R76" s="432">
        <f>SUM(R43:R75)</f>
        <v>8412819.9899999984</v>
      </c>
      <c r="S76" s="433">
        <f>SUM(S43:S75)</f>
        <v>5764539.4300000006</v>
      </c>
      <c r="T76" s="211">
        <f>IF(ISERROR(S76/Q76),"-",S76/Q76)</f>
        <v>2.1767102462890113</v>
      </c>
      <c r="U76" s="784"/>
      <c r="V76" s="432">
        <f>SUM(V44:V75)</f>
        <v>10740586.57</v>
      </c>
      <c r="W76" s="433">
        <f>SUM(W43:W75)</f>
        <v>12972210.85</v>
      </c>
      <c r="X76" s="433">
        <f>SUM(X43:X75)</f>
        <v>2231624.2800000003</v>
      </c>
      <c r="Y76" s="211">
        <f t="shared" si="33"/>
        <v>0.20777489808920185</v>
      </c>
      <c r="Z76" s="178"/>
      <c r="AA76" s="1046">
        <f>SUM(AA43:AA75)</f>
        <v>11460586</v>
      </c>
      <c r="AB76" s="1232">
        <f>SUM(AB43:AB75)</f>
        <v>-1511624.8499999989</v>
      </c>
      <c r="AC76" s="1303">
        <f t="shared" si="34"/>
        <v>-0.13189769266597703</v>
      </c>
      <c r="AD76" s="1173"/>
      <c r="AE76" s="1181"/>
    </row>
    <row r="77" spans="1:31" x14ac:dyDescent="0.3">
      <c r="A77" s="1273"/>
      <c r="B77" s="752"/>
      <c r="C77" s="1086"/>
      <c r="D77" s="1302"/>
      <c r="E77" s="1297"/>
      <c r="F77" s="781"/>
      <c r="G77" s="1286"/>
      <c r="H77" s="1233"/>
      <c r="I77" s="1233"/>
      <c r="J77" s="1312"/>
      <c r="K77" s="781"/>
      <c r="L77" s="760"/>
      <c r="M77" s="449"/>
      <c r="N77" s="449"/>
      <c r="O77" s="257"/>
      <c r="P77" s="160"/>
      <c r="Q77" s="450"/>
      <c r="R77" s="451"/>
      <c r="S77" s="451"/>
      <c r="T77" s="258"/>
      <c r="U77" s="781"/>
      <c r="V77" s="452"/>
      <c r="W77" s="453"/>
      <c r="X77" s="449"/>
      <c r="Y77" s="257"/>
      <c r="Z77" s="160"/>
      <c r="AA77" s="1069"/>
      <c r="AB77" s="1086"/>
      <c r="AC77" s="1088"/>
      <c r="AD77" s="1168"/>
      <c r="AE77" s="1178"/>
    </row>
    <row r="78" spans="1:31" ht="19.5" thickBot="1" x14ac:dyDescent="0.35">
      <c r="A78" s="1265" t="s">
        <v>103</v>
      </c>
      <c r="B78" s="1046">
        <f>B41+B76+B77</f>
        <v>6656340.0099999998</v>
      </c>
      <c r="C78" s="1232">
        <f>C41+C76+C77</f>
        <v>4740735.629999999</v>
      </c>
      <c r="D78" s="1232">
        <f>D41+D76+D77</f>
        <v>-1915604.3800000004</v>
      </c>
      <c r="E78" s="1298">
        <f>IF(ISERROR(D78/B78),"-",D78/B78)</f>
        <v>-0.2877864377604113</v>
      </c>
      <c r="F78" s="785"/>
      <c r="G78" s="1063">
        <f>G41+G76+G77</f>
        <v>6718265.9999999991</v>
      </c>
      <c r="H78" s="1232">
        <f>H41+H76</f>
        <v>4532416.1999999993</v>
      </c>
      <c r="I78" s="1232">
        <f>I41+I76+I77</f>
        <v>-2185849.7999999993</v>
      </c>
      <c r="J78" s="1298">
        <f>IF(ISERROR(I78/G78),"-",I78/G78)</f>
        <v>-0.32535922215643137</v>
      </c>
      <c r="K78" s="785"/>
      <c r="L78" s="565">
        <f>L41+L76+L77</f>
        <v>6806025.4199999999</v>
      </c>
      <c r="M78" s="433">
        <f>M41+M76+M77</f>
        <v>4596838.74</v>
      </c>
      <c r="N78" s="433">
        <f>N41+N76+N77</f>
        <v>-2209186.6800000006</v>
      </c>
      <c r="O78" s="211">
        <f>IF(ISERROR(N78/L78),"-",N78/L78)</f>
        <v>-0.3245927753234869</v>
      </c>
      <c r="P78" s="230"/>
      <c r="Q78" s="432">
        <f>Q41+Q76+Q77</f>
        <v>6336090.9799999995</v>
      </c>
      <c r="R78" s="433">
        <f>R41+R76+R77</f>
        <v>11614044.809999999</v>
      </c>
      <c r="S78" s="433">
        <f>S41+S76+S77</f>
        <v>5277953.830000001</v>
      </c>
      <c r="T78" s="211">
        <f>IF(ISERROR(S78/Q78),"-",S78/Q78)</f>
        <v>0.83299842863051843</v>
      </c>
      <c r="U78" s="785"/>
      <c r="V78" s="432">
        <f>V41+V76+V77</f>
        <v>26516722.409999996</v>
      </c>
      <c r="W78" s="433">
        <f>W41+W76+W77</f>
        <v>25484035.379999999</v>
      </c>
      <c r="X78" s="433">
        <f>X41+X76</f>
        <v>-1032687.0299999993</v>
      </c>
      <c r="Y78" s="211">
        <f>IF(ISERROR(X78/V78),"-",X78/V78)</f>
        <v>-3.8944746414457013E-2</v>
      </c>
      <c r="Z78" s="230"/>
      <c r="AA78" s="1046">
        <f>AA41+AA76</f>
        <v>27236720.600000001</v>
      </c>
      <c r="AB78" s="1232">
        <f>AB41+AB76+AB77</f>
        <v>1752685.2200000023</v>
      </c>
      <c r="AC78" s="1303">
        <f>IF(ISERROR(AB78/AA78),"-",AB78/AA78)</f>
        <v>6.4350082586668023E-2</v>
      </c>
      <c r="AD78" s="1164"/>
      <c r="AE78" s="1181"/>
    </row>
    <row r="79" spans="1:31" ht="33" customHeight="1" thickBot="1" x14ac:dyDescent="0.35">
      <c r="A79" s="261" t="s">
        <v>166</v>
      </c>
      <c r="B79" s="752">
        <f>B25-B78</f>
        <v>3760794.9399999976</v>
      </c>
      <c r="C79" s="1086">
        <f>C25-C78</f>
        <v>5446672.1899999976</v>
      </c>
      <c r="D79" s="1086">
        <f>D25-D78</f>
        <v>1685877.2499999981</v>
      </c>
      <c r="E79" s="1297"/>
      <c r="F79" s="726">
        <f>F25-F78</f>
        <v>0</v>
      </c>
      <c r="G79" s="958">
        <f>G25-G78</f>
        <v>1962548.9124290766</v>
      </c>
      <c r="H79" s="1086">
        <f>H25-H78</f>
        <v>3698546.4500000011</v>
      </c>
      <c r="I79" s="1086">
        <f>I25-I78</f>
        <v>1735997.5375709238</v>
      </c>
      <c r="J79" s="1208"/>
      <c r="K79" s="726">
        <f>K25-K78</f>
        <v>0</v>
      </c>
      <c r="L79" s="760">
        <f>L25-L78</f>
        <v>-445872.06481120083</v>
      </c>
      <c r="M79" s="448">
        <f>M25-M78</f>
        <v>1503293.4400000004</v>
      </c>
      <c r="N79" s="448">
        <f>N25-N78</f>
        <v>1949165.5048112017</v>
      </c>
      <c r="O79" s="262"/>
      <c r="P79" s="262">
        <f>P25-P78</f>
        <v>0</v>
      </c>
      <c r="Q79" s="448">
        <f>Q25-Q78</f>
        <v>1665890.8399999999</v>
      </c>
      <c r="R79" s="448">
        <f>R25-R78</f>
        <v>-2432028.91</v>
      </c>
      <c r="S79" s="448">
        <f>S25-S78</f>
        <v>-4097919.7500000023</v>
      </c>
      <c r="T79" s="262"/>
      <c r="U79" s="726">
        <f>U25-U78</f>
        <v>0</v>
      </c>
      <c r="V79" s="448">
        <f>V25-V78</f>
        <v>6943362.627617877</v>
      </c>
      <c r="W79" s="448">
        <f>W25-W78</f>
        <v>8216483.1699999906</v>
      </c>
      <c r="X79" s="448">
        <f>X25-X78</f>
        <v>1273120.5423821206</v>
      </c>
      <c r="Y79" s="262"/>
      <c r="Z79" s="262">
        <f>Z25-Z78</f>
        <v>0</v>
      </c>
      <c r="AA79" s="752">
        <f>AA25-AA78</f>
        <v>6223363.8999999985</v>
      </c>
      <c r="AB79" s="1086">
        <f>AB25-AB78</f>
        <v>-1993119.2699999944</v>
      </c>
      <c r="AC79" s="1088"/>
      <c r="AD79" s="1168"/>
      <c r="AE79" s="1178"/>
    </row>
    <row r="80" spans="1:31" ht="19.5" thickBot="1" x14ac:dyDescent="0.35">
      <c r="A80" s="263" t="s">
        <v>167</v>
      </c>
      <c r="B80" s="752"/>
      <c r="C80" s="1086"/>
      <c r="D80" s="1086">
        <f>C80-B80</f>
        <v>0</v>
      </c>
      <c r="E80" s="1299"/>
      <c r="F80" s="781"/>
      <c r="G80" s="1286"/>
      <c r="H80" s="1233"/>
      <c r="I80" s="1086">
        <f>H80-G80</f>
        <v>0</v>
      </c>
      <c r="J80" s="1312"/>
      <c r="K80" s="781"/>
      <c r="L80" s="760"/>
      <c r="M80" s="449"/>
      <c r="N80" s="449">
        <f>M80-L80</f>
        <v>0</v>
      </c>
      <c r="O80" s="257"/>
      <c r="P80" s="160"/>
      <c r="Q80" s="450"/>
      <c r="R80" s="451"/>
      <c r="S80" s="449">
        <f>R80-Q80</f>
        <v>0</v>
      </c>
      <c r="T80" s="264"/>
      <c r="U80" s="781"/>
      <c r="V80" s="452"/>
      <c r="W80" s="453"/>
      <c r="X80" s="449"/>
      <c r="Y80" s="257"/>
      <c r="Z80" s="160"/>
      <c r="AA80" s="1069">
        <v>5506319</v>
      </c>
      <c r="AB80" s="1086"/>
      <c r="AC80" s="1088"/>
      <c r="AD80" s="1168"/>
      <c r="AE80" s="1178"/>
    </row>
    <row r="81" spans="1:31" ht="25.5" customHeight="1" thickBot="1" x14ac:dyDescent="0.35">
      <c r="A81" s="265" t="s">
        <v>168</v>
      </c>
      <c r="B81" s="752">
        <f>B79-B80</f>
        <v>3760794.9399999976</v>
      </c>
      <c r="C81" s="1086">
        <f t="shared" ref="C81:Q81" si="41">C79-C80</f>
        <v>5446672.1899999976</v>
      </c>
      <c r="D81" s="1086">
        <f t="shared" si="41"/>
        <v>1685877.2499999981</v>
      </c>
      <c r="E81" s="1300"/>
      <c r="F81" s="726">
        <f>F27-F80</f>
        <v>0</v>
      </c>
      <c r="G81" s="958">
        <f t="shared" si="41"/>
        <v>1962548.9124290766</v>
      </c>
      <c r="H81" s="1086">
        <f t="shared" si="41"/>
        <v>3698546.4500000011</v>
      </c>
      <c r="I81" s="1306">
        <f t="shared" si="41"/>
        <v>1735997.5375709238</v>
      </c>
      <c r="J81" s="1300"/>
      <c r="K81" s="726">
        <f>K27-K80</f>
        <v>0</v>
      </c>
      <c r="L81" s="760">
        <f t="shared" si="41"/>
        <v>-445872.06481120083</v>
      </c>
      <c r="M81" s="448">
        <f t="shared" si="41"/>
        <v>1503293.4400000004</v>
      </c>
      <c r="N81" s="448">
        <f t="shared" si="41"/>
        <v>1949165.5048112017</v>
      </c>
      <c r="O81" s="751"/>
      <c r="P81" s="262">
        <f>P27-P80</f>
        <v>0</v>
      </c>
      <c r="Q81" s="448">
        <f t="shared" si="41"/>
        <v>1665890.8399999999</v>
      </c>
      <c r="R81" s="448">
        <f>R79-R80</f>
        <v>-2432028.91</v>
      </c>
      <c r="S81" s="448">
        <f>S79-S80</f>
        <v>-4097919.7500000023</v>
      </c>
      <c r="T81" s="751"/>
      <c r="U81" s="726">
        <f>U27-U80</f>
        <v>0</v>
      </c>
      <c r="V81" s="448">
        <f>V79-V80</f>
        <v>6943362.627617877</v>
      </c>
      <c r="W81" s="448">
        <f>W79-W80</f>
        <v>8216483.1699999906</v>
      </c>
      <c r="X81" s="448">
        <f>X79-X80</f>
        <v>1273120.5423821206</v>
      </c>
      <c r="Y81" s="751"/>
      <c r="Z81" s="262">
        <f>Z27-Z80</f>
        <v>0</v>
      </c>
      <c r="AA81" s="752">
        <f>AA79-AA80</f>
        <v>717044.89999999851</v>
      </c>
      <c r="AB81" s="1086">
        <f>AB79-AB80</f>
        <v>-1993119.2699999944</v>
      </c>
      <c r="AC81" s="1327" t="str">
        <f>IF(ISERROR(AB81/Z81),"-",AB81/Z81)</f>
        <v>-</v>
      </c>
      <c r="AD81" s="1168"/>
      <c r="AE81" s="1178"/>
    </row>
    <row r="82" spans="1:31" ht="29.25" customHeight="1" x14ac:dyDescent="0.3">
      <c r="A82" s="1256" t="s">
        <v>104</v>
      </c>
      <c r="B82" s="889"/>
      <c r="C82" s="418"/>
      <c r="D82" s="418">
        <f>B82-C82</f>
        <v>0</v>
      </c>
      <c r="E82" s="1301" t="str">
        <f>IF(ISERROR(D82/B82),"-",D82/B82)</f>
        <v>-</v>
      </c>
      <c r="F82" s="785"/>
      <c r="G82" s="396"/>
      <c r="H82" s="1042"/>
      <c r="I82" s="602">
        <f>G82-H82</f>
        <v>0</v>
      </c>
      <c r="J82" s="1222" t="str">
        <f>IF(ISERROR(I82/G82),"-",I82/G82)</f>
        <v>-</v>
      </c>
      <c r="K82" s="785"/>
      <c r="L82" s="567"/>
      <c r="M82" s="415"/>
      <c r="N82" s="415">
        <f>L82-M82</f>
        <v>0</v>
      </c>
      <c r="O82" s="266" t="str">
        <f>IF(ISERROR(N82/L82),"-",N82/L82)</f>
        <v>-</v>
      </c>
      <c r="P82" s="230"/>
      <c r="Q82" s="426"/>
      <c r="R82" s="427"/>
      <c r="S82" s="427">
        <f>Q82-R82</f>
        <v>0</v>
      </c>
      <c r="T82" s="267" t="str">
        <f>IF(ISERROR(S82/Q82),"-",S82/Q82)</f>
        <v>-</v>
      </c>
      <c r="U82" s="785"/>
      <c r="V82" s="414">
        <f>B82+G82+L82+Q82</f>
        <v>0</v>
      </c>
      <c r="W82" s="415">
        <f>C82+H82+M82+R82</f>
        <v>0</v>
      </c>
      <c r="X82" s="415">
        <f>V82-W82</f>
        <v>0</v>
      </c>
      <c r="Y82" s="266" t="str">
        <f>IF(ISERROR(X82/V82),"-",X82/V82)</f>
        <v>-</v>
      </c>
      <c r="Z82" s="230"/>
      <c r="AA82" s="889">
        <f>G82+L82+Q82+V82</f>
        <v>0</v>
      </c>
      <c r="AB82" s="418">
        <f>AA82-W82</f>
        <v>0</v>
      </c>
      <c r="AC82" s="1328" t="str">
        <f>IF(ISERROR(AB82/AA82),"-",AB82/AA82)</f>
        <v>-</v>
      </c>
      <c r="AD82" s="1164"/>
      <c r="AE82" s="1178"/>
    </row>
    <row r="83" spans="1:31" ht="19.5" thickBot="1" x14ac:dyDescent="0.35">
      <c r="A83" s="1274" t="s">
        <v>105</v>
      </c>
      <c r="B83" s="1047">
        <f>B81-B82</f>
        <v>3760794.9399999976</v>
      </c>
      <c r="C83" s="1315">
        <f>C81-C82</f>
        <v>5446672.1899999976</v>
      </c>
      <c r="D83" s="1229">
        <f>C83-B83</f>
        <v>1685877.25</v>
      </c>
      <c r="E83" s="1223">
        <f>IF(ISERROR(D83/B83),"-",D83/B83)</f>
        <v>0.44827683425887643</v>
      </c>
      <c r="F83" s="799"/>
      <c r="G83" s="1287">
        <f>G81-G82</f>
        <v>1962548.9124290766</v>
      </c>
      <c r="H83" s="1316">
        <f>H81-H82</f>
        <v>3698546.4500000011</v>
      </c>
      <c r="I83" s="793">
        <f>H83-G83</f>
        <v>1735997.5375709245</v>
      </c>
      <c r="J83" s="1223">
        <f>IF(ISERROR(I83/G83),"-",I83/G83)</f>
        <v>0.88456268609491828</v>
      </c>
      <c r="K83" s="799"/>
      <c r="L83" s="793">
        <f>L81-L82</f>
        <v>-445872.06481120083</v>
      </c>
      <c r="M83" s="454">
        <f>M81-M82</f>
        <v>1503293.4400000004</v>
      </c>
      <c r="N83" s="455">
        <f>M83-L83</f>
        <v>1949165.5048112012</v>
      </c>
      <c r="O83" s="271">
        <f>IF(ISERROR(N83/L83),"-",N83/L83)</f>
        <v>-4.3715802326314206</v>
      </c>
      <c r="P83" s="1243"/>
      <c r="Q83" s="454">
        <f>Q81-Q82</f>
        <v>1665890.8399999999</v>
      </c>
      <c r="R83" s="454">
        <f>R81-R82</f>
        <v>-2432028.91</v>
      </c>
      <c r="S83" s="455">
        <f>R83-Q83</f>
        <v>-4097919.75</v>
      </c>
      <c r="T83" s="271">
        <f>IF(ISERROR(S83/Q83),"-",S83/Q83)</f>
        <v>-2.4598969221776863</v>
      </c>
      <c r="U83" s="799"/>
      <c r="V83" s="456">
        <f>V81-V82</f>
        <v>6943362.627617877</v>
      </c>
      <c r="W83" s="456">
        <f>W81-W82</f>
        <v>8216483.1699999906</v>
      </c>
      <c r="X83" s="455">
        <f>W83-V83</f>
        <v>1273120.5423821136</v>
      </c>
      <c r="Y83" s="275">
        <f>IF(ISERROR(X83/V83),"-",X83/V83)</f>
        <v>0.18335792189769221</v>
      </c>
      <c r="Z83" s="1243"/>
      <c r="AA83" s="456">
        <f>AA81-AA82</f>
        <v>717044.89999999851</v>
      </c>
      <c r="AB83" s="1330">
        <f>AB81-AB82</f>
        <v>-1993119.2699999944</v>
      </c>
      <c r="AC83" s="275">
        <f>IF(ISERROR(AB83/AA83),"-",AB83/AA83)</f>
        <v>-2.7796296577801454</v>
      </c>
      <c r="AD83" s="1115"/>
      <c r="AE83" s="1322" t="s">
        <v>189</v>
      </c>
    </row>
  </sheetData>
  <sheetProtection algorithmName="SHA-512" hashValue="yiUMJRBjb/BnDjZXBySUmGVxsF3zvvHnXvkLQFMYDPgnycd57mWwqjAUoyWiyPhFgFRfxZ6+MHJNI7S6Piv8oQ==" saltValue="8m2Vp4rMFaEJUYdpQhmSYA==" spinCount="100000" sheet="1" objects="1" scenarios="1"/>
  <mergeCells count="19">
    <mergeCell ref="A7:H7"/>
    <mergeCell ref="A1:H1"/>
    <mergeCell ref="A3:H3"/>
    <mergeCell ref="A4:H4"/>
    <mergeCell ref="A5:H5"/>
    <mergeCell ref="A6:H6"/>
    <mergeCell ref="AE9:AE11"/>
    <mergeCell ref="D10:E10"/>
    <mergeCell ref="I10:J10"/>
    <mergeCell ref="N10:O10"/>
    <mergeCell ref="S10:T10"/>
    <mergeCell ref="X10:Y10"/>
    <mergeCell ref="AB10:AC10"/>
    <mergeCell ref="B9:E9"/>
    <mergeCell ref="G9:J9"/>
    <mergeCell ref="L9:O9"/>
    <mergeCell ref="Q9:T9"/>
    <mergeCell ref="V9:Y9"/>
    <mergeCell ref="AA9:AC9"/>
  </mergeCells>
  <conditionalFormatting sqref="E56">
    <cfRule type="cellIs" dxfId="5" priority="1" stopIfTrue="1" operator="equal">
      <formula>""""""</formula>
    </cfRule>
  </conditionalFormatting>
  <pageMargins left="0.7" right="0.7" top="0.75" bottom="0.75" header="0.3" footer="0.3"/>
  <pageSetup paperSize="17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</vt:i4>
      </vt:variant>
    </vt:vector>
  </HeadingPairs>
  <TitlesOfParts>
    <vt:vector size="25" baseType="lpstr">
      <vt:lpstr>Consolidated Fin Position Q4</vt:lpstr>
      <vt:lpstr>Consolidated Inc Statement Q4</vt:lpstr>
      <vt:lpstr>Financial Ratios</vt:lpstr>
      <vt:lpstr>ADB Fin. Postition </vt:lpstr>
      <vt:lpstr>ADB Inc. Statement</vt:lpstr>
      <vt:lpstr>ATB Fin. Position</vt:lpstr>
      <vt:lpstr>ATB Inc. Statement</vt:lpstr>
      <vt:lpstr>AASPA Fin. Position</vt:lpstr>
      <vt:lpstr>AASPA Inc. Statement</vt:lpstr>
      <vt:lpstr>ACC Fin. Position</vt:lpstr>
      <vt:lpstr>ACC Inc Statement</vt:lpstr>
      <vt:lpstr>ANT Fin. Position</vt:lpstr>
      <vt:lpstr>ANT Inc Statement</vt:lpstr>
      <vt:lpstr>PSPF Fin. Position</vt:lpstr>
      <vt:lpstr>PSPF Inc. Statement</vt:lpstr>
      <vt:lpstr>AFSC Fin. Position</vt:lpstr>
      <vt:lpstr>AFSC Inc. Statement</vt:lpstr>
      <vt:lpstr>PUC Fin. Position</vt:lpstr>
      <vt:lpstr>PUC Inc. Statement</vt:lpstr>
      <vt:lpstr>ASSB Fin. Position</vt:lpstr>
      <vt:lpstr>ASSB Inc. Statement</vt:lpstr>
      <vt:lpstr>A1.</vt:lpstr>
      <vt:lpstr>'AASPA Inc. Statement'!Print_Area</vt:lpstr>
      <vt:lpstr>'ACC Inc Statement'!Print_Area</vt:lpstr>
      <vt:lpstr>'AFSC Inc.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</dc:creator>
  <cp:lastModifiedBy>Rukeya Jeffers</cp:lastModifiedBy>
  <cp:lastPrinted>2023-03-20T19:35:09Z</cp:lastPrinted>
  <dcterms:created xsi:type="dcterms:W3CDTF">2020-08-17T18:48:33Z</dcterms:created>
  <dcterms:modified xsi:type="dcterms:W3CDTF">2026-07-23T15:46:31Z</dcterms:modified>
</cp:coreProperties>
</file>